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drawings/drawing10.xml" ContentType="application/vnd.openxmlformats-officedocument.drawing+xml"/>
  <Override PartName="/xl/charts/chart51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-30" windowWidth="7785" windowHeight="8445" tabRatio="838" firstSheet="19" activeTab="24"/>
  </bookViews>
  <sheets>
    <sheet name="Eclipse Soil Analysis" sheetId="1" r:id="rId1"/>
    <sheet name="Sammis Soil Analysis" sheetId="2" r:id="rId2"/>
    <sheet name="Donlon Soil Analysis" sheetId="3" r:id="rId3"/>
    <sheet name="Manzanita 2 Soil Analysis" sheetId="4" r:id="rId4"/>
    <sheet name="Manzanita 7 Soil Analysis" sheetId="10" r:id="rId5"/>
    <sheet name="Main Soil Analysis" sheetId="13" r:id="rId6"/>
    <sheet name="Rice Soil Analysis" sheetId="15" r:id="rId7"/>
    <sheet name="Captainich Soil Analysis" sheetId="11" r:id="rId8"/>
    <sheet name="MBA Soil Analysis" sheetId="17" r:id="rId9"/>
    <sheet name="Porter Ranch Soil Analysis" sheetId="12" r:id="rId10"/>
    <sheet name="Redman Soil Analysis" sheetId="14" r:id="rId11"/>
    <sheet name="Schultz Soil Analysis" sheetId="16" r:id="rId12"/>
    <sheet name="Data for Graphs" sheetId="9" r:id="rId13"/>
    <sheet name="Eclipse Soil Graphs" sheetId="5" r:id="rId14"/>
    <sheet name="Sammis Soil Graphs" sheetId="6" r:id="rId15"/>
    <sheet name="Donlon Soil Graphs" sheetId="7" r:id="rId16"/>
    <sheet name="Manzanita 2 Soil Graphs" sheetId="8" r:id="rId17"/>
    <sheet name="Manzanita 7 Graphs" sheetId="18" r:id="rId18"/>
    <sheet name="Main Graphs" sheetId="26" r:id="rId19"/>
    <sheet name="Rice Graphs" sheetId="27" r:id="rId20"/>
    <sheet name="Captainich Graphs" sheetId="28" r:id="rId21"/>
    <sheet name="MBA Graphs" sheetId="29" r:id="rId22"/>
    <sheet name="Porter Ranch Graphs" sheetId="30" r:id="rId23"/>
    <sheet name="Redman Graphs" sheetId="31" r:id="rId24"/>
    <sheet name="Schultz Graphs" sheetId="32" r:id="rId25"/>
    <sheet name="Sheet1" sheetId="33" r:id="rId26"/>
  </sheets>
  <definedNames>
    <definedName name="_xlnm.Print_Area" localSheetId="2">'Donlon Soil Analysis'!$A$1:$W$61</definedName>
    <definedName name="_xlnm.Print_Area" localSheetId="15">'Donlon Soil Graphs'!$A$1:$M$204</definedName>
    <definedName name="_xlnm.Print_Area" localSheetId="0">'Eclipse Soil Analysis'!$A$1:$W$80</definedName>
    <definedName name="_xlnm.Print_Area" localSheetId="3">'Manzanita 2 Soil Analysis'!$A$1:$W$140</definedName>
    <definedName name="_xlnm.Print_Area" localSheetId="16">'Manzanita 2 Soil Graphs'!$A$1:$M$407</definedName>
    <definedName name="_xlnm.Print_Area" localSheetId="4">'Manzanita 7 Soil Analysis'!$A$1:$W$76</definedName>
    <definedName name="_xlnm.Print_Area" localSheetId="1">'Sammis Soil Analysis'!$A$1:$V$60</definedName>
    <definedName name="_xlnm.Print_Titles" localSheetId="7">'Captainich Soil Analysis'!$A:$C,'Captainich Soil Analysis'!$1:$1</definedName>
    <definedName name="_xlnm.Print_Titles" localSheetId="2">'Donlon Soil Analysis'!$1:$1</definedName>
    <definedName name="_xlnm.Print_Titles" localSheetId="0">'Eclipse Soil Analysis'!$1:$1</definedName>
    <definedName name="_xlnm.Print_Titles" localSheetId="5">'Main Soil Analysis'!$A:$C,'Main Soil Analysis'!$1:$1</definedName>
    <definedName name="_xlnm.Print_Titles" localSheetId="3">'Manzanita 2 Soil Analysis'!$1:$1</definedName>
    <definedName name="_xlnm.Print_Titles" localSheetId="4">'Manzanita 7 Soil Analysis'!$1:$1</definedName>
    <definedName name="_xlnm.Print_Titles" localSheetId="8">'MBA Soil Analysis'!$A:$C,'MBA Soil Analysis'!$1:$1</definedName>
    <definedName name="_xlnm.Print_Titles" localSheetId="9">'Porter Ranch Soil Analysis'!$A:$C,'Porter Ranch Soil Analysis'!$1:$1</definedName>
    <definedName name="_xlnm.Print_Titles" localSheetId="10">'Redman Soil Analysis'!$A:$C,'Redman Soil Analysis'!$1:$1</definedName>
    <definedName name="_xlnm.Print_Titles" localSheetId="6">'Rice Soil Analysis'!$A:$C,'Rice Soil Analysis'!$1:$1</definedName>
    <definedName name="_xlnm.Print_Titles" localSheetId="1">'Sammis Soil Analysis'!$1:$1</definedName>
    <definedName name="_xlnm.Print_Titles" localSheetId="11">'Schultz Soil Analysis'!$A:$C,'Schultz Soil Analysis'!$1:$1</definedName>
  </definedNames>
  <calcPr calcId="125725" concurrentCalc="0"/>
</workbook>
</file>

<file path=xl/calcChain.xml><?xml version="1.0" encoding="utf-8"?>
<calcChain xmlns="http://schemas.openxmlformats.org/spreadsheetml/2006/main">
  <c r="R8" i="16"/>
  <c r="R7"/>
  <c r="R6"/>
  <c r="F18" i="12"/>
  <c r="F17"/>
  <c r="F16"/>
  <c r="F18" i="11"/>
  <c r="F17"/>
  <c r="F16"/>
  <c r="F18" i="14"/>
  <c r="F17"/>
  <c r="F16"/>
  <c r="F7"/>
  <c r="J70" i="1"/>
  <c r="J69"/>
  <c r="J68"/>
  <c r="F28" i="13"/>
  <c r="F27"/>
  <c r="F26"/>
  <c r="F23"/>
  <c r="F22"/>
  <c r="F21"/>
  <c r="R46" i="3"/>
  <c r="R45"/>
  <c r="R44"/>
  <c r="F135" i="4"/>
  <c r="F134"/>
  <c r="F133"/>
  <c r="F130"/>
  <c r="F129"/>
  <c r="F128"/>
  <c r="F125"/>
  <c r="F124"/>
  <c r="F123"/>
  <c r="F115"/>
  <c r="F114"/>
  <c r="F113"/>
  <c r="F110"/>
  <c r="F109"/>
  <c r="F108"/>
  <c r="J75" i="1"/>
  <c r="J74"/>
  <c r="J73"/>
  <c r="V55" i="2"/>
  <c r="V54"/>
  <c r="V53"/>
  <c r="V50"/>
  <c r="V49"/>
  <c r="V48"/>
  <c r="N61" i="10"/>
  <c r="N60"/>
  <c r="N59"/>
  <c r="N56"/>
  <c r="N55"/>
  <c r="N54"/>
  <c r="R13" i="15"/>
  <c r="R12"/>
  <c r="R11"/>
  <c r="R8"/>
  <c r="R7"/>
  <c r="R6"/>
  <c r="R8" i="14"/>
  <c r="R7"/>
  <c r="R6"/>
  <c r="R8" i="12"/>
  <c r="R7"/>
  <c r="R6"/>
  <c r="R8" i="11"/>
  <c r="R7"/>
  <c r="R6"/>
  <c r="J61" i="10"/>
  <c r="J60"/>
  <c r="J59"/>
  <c r="R91" i="4"/>
  <c r="R90"/>
  <c r="R89"/>
  <c r="V8" i="13"/>
  <c r="V7"/>
  <c r="V6"/>
  <c r="R55" i="2"/>
  <c r="R54"/>
  <c r="R53"/>
  <c r="R81" i="4"/>
  <c r="R80"/>
  <c r="R79"/>
  <c r="V101"/>
  <c r="V100"/>
  <c r="V99"/>
  <c r="V13" i="13"/>
  <c r="V12"/>
  <c r="V11"/>
  <c r="J9" i="12"/>
  <c r="J8"/>
  <c r="J7"/>
  <c r="J6"/>
  <c r="F13" i="15"/>
  <c r="F12"/>
  <c r="F11"/>
  <c r="V96" i="4"/>
  <c r="V95"/>
  <c r="V94"/>
  <c r="V28" i="3"/>
  <c r="V27"/>
  <c r="V26"/>
  <c r="V25"/>
  <c r="R53" i="4"/>
  <c r="N53"/>
  <c r="J53"/>
  <c r="R52"/>
  <c r="N52"/>
  <c r="J52"/>
  <c r="R51"/>
  <c r="N51"/>
  <c r="J51"/>
  <c r="R50"/>
  <c r="N50"/>
  <c r="J50"/>
  <c r="V19"/>
  <c r="R19"/>
  <c r="N19"/>
  <c r="J19"/>
  <c r="V18"/>
  <c r="R18"/>
  <c r="N18"/>
  <c r="J18"/>
  <c r="F18"/>
  <c r="V17"/>
  <c r="R17"/>
  <c r="N17"/>
  <c r="J17"/>
  <c r="F17"/>
  <c r="V16"/>
  <c r="R16"/>
  <c r="N16"/>
  <c r="J16"/>
  <c r="F16"/>
  <c r="R43"/>
  <c r="N43"/>
  <c r="J43"/>
  <c r="F43"/>
  <c r="R42"/>
  <c r="N42"/>
  <c r="J42"/>
  <c r="F42"/>
  <c r="R41"/>
  <c r="N41"/>
  <c r="J41"/>
  <c r="F41"/>
  <c r="R40"/>
  <c r="N40"/>
  <c r="J40"/>
  <c r="F40"/>
  <c r="V9"/>
  <c r="R9"/>
  <c r="N9"/>
  <c r="J9"/>
  <c r="V8"/>
  <c r="R8"/>
  <c r="N8"/>
  <c r="J8"/>
  <c r="F8"/>
  <c r="V7"/>
  <c r="R7"/>
  <c r="N7"/>
  <c r="J7"/>
  <c r="F7"/>
  <c r="V6"/>
  <c r="R6"/>
  <c r="N6"/>
  <c r="J6"/>
  <c r="F6"/>
  <c r="J56" i="10"/>
  <c r="J55"/>
  <c r="J54"/>
  <c r="R76" i="4"/>
  <c r="R75"/>
  <c r="R74"/>
  <c r="R50" i="2"/>
  <c r="R49"/>
  <c r="R48"/>
  <c r="N92" i="4"/>
  <c r="N91"/>
  <c r="N90"/>
  <c r="N89"/>
  <c r="N9" i="14"/>
  <c r="N8"/>
  <c r="N7"/>
  <c r="N6"/>
  <c r="N9" i="15"/>
  <c r="N8"/>
  <c r="N7"/>
  <c r="N6"/>
  <c r="N9" i="12"/>
  <c r="N8"/>
  <c r="N7"/>
  <c r="N6"/>
  <c r="N14" i="15"/>
  <c r="N13"/>
  <c r="N12"/>
  <c r="N11"/>
  <c r="N9" i="11"/>
  <c r="N8"/>
  <c r="N7"/>
  <c r="N6"/>
  <c r="R13" i="13"/>
  <c r="R12"/>
  <c r="R11"/>
  <c r="R8"/>
  <c r="R7"/>
  <c r="R6"/>
  <c r="N55" i="2"/>
  <c r="N54"/>
  <c r="N53"/>
  <c r="N50"/>
  <c r="N49"/>
  <c r="N48"/>
  <c r="N9" i="16"/>
  <c r="N8"/>
  <c r="N7"/>
  <c r="N6"/>
  <c r="J9"/>
  <c r="J8"/>
  <c r="F8"/>
  <c r="J7"/>
  <c r="F7"/>
  <c r="J6"/>
  <c r="F6"/>
  <c r="J9" i="14"/>
  <c r="J8"/>
  <c r="F8"/>
  <c r="J7"/>
  <c r="J6"/>
  <c r="F6"/>
  <c r="F8" i="12"/>
  <c r="F7"/>
  <c r="F6"/>
  <c r="J6" i="17"/>
  <c r="F6"/>
  <c r="J8" i="11"/>
  <c r="F8"/>
  <c r="J7"/>
  <c r="F7"/>
  <c r="J6"/>
  <c r="F6"/>
  <c r="F8" i="15"/>
  <c r="F7"/>
  <c r="F6"/>
  <c r="N14" i="13"/>
  <c r="J14"/>
  <c r="N13"/>
  <c r="J13"/>
  <c r="F13"/>
  <c r="N12"/>
  <c r="J12"/>
  <c r="F12"/>
  <c r="N11"/>
  <c r="J11"/>
  <c r="F11"/>
  <c r="N9"/>
  <c r="J9"/>
  <c r="N8"/>
  <c r="J8"/>
  <c r="F8"/>
  <c r="N7"/>
  <c r="J7"/>
  <c r="F7"/>
  <c r="N6"/>
  <c r="J6"/>
  <c r="F6"/>
  <c r="F62" i="10"/>
  <c r="V38"/>
  <c r="F61"/>
  <c r="V37"/>
  <c r="R37"/>
  <c r="F60"/>
  <c r="V36"/>
  <c r="R36"/>
  <c r="F59"/>
  <c r="V35"/>
  <c r="R35"/>
  <c r="F57"/>
  <c r="V33"/>
  <c r="F56"/>
  <c r="V32"/>
  <c r="R32"/>
  <c r="F55"/>
  <c r="V31"/>
  <c r="R31"/>
  <c r="F54"/>
  <c r="V30"/>
  <c r="R30"/>
  <c r="N48"/>
  <c r="J48"/>
  <c r="F48"/>
  <c r="N47"/>
  <c r="J47"/>
  <c r="F47"/>
  <c r="N46"/>
  <c r="J46"/>
  <c r="F46"/>
  <c r="N45"/>
  <c r="J45"/>
  <c r="F45"/>
  <c r="N43"/>
  <c r="J43"/>
  <c r="F43"/>
  <c r="N42"/>
  <c r="J42"/>
  <c r="F42"/>
  <c r="N41"/>
  <c r="J41"/>
  <c r="F41"/>
  <c r="N40"/>
  <c r="J40"/>
  <c r="F40"/>
  <c r="F38"/>
  <c r="F37"/>
  <c r="F36"/>
  <c r="F35"/>
  <c r="F33"/>
  <c r="F32"/>
  <c r="F31"/>
  <c r="F30"/>
  <c r="V24"/>
  <c r="R24"/>
  <c r="N24"/>
  <c r="J24"/>
  <c r="V23"/>
  <c r="R23"/>
  <c r="N23"/>
  <c r="J23"/>
  <c r="V22"/>
  <c r="R22"/>
  <c r="N22"/>
  <c r="J22"/>
  <c r="V21"/>
  <c r="R21"/>
  <c r="N21"/>
  <c r="J21"/>
  <c r="V19"/>
  <c r="R19"/>
  <c r="N19"/>
  <c r="J19"/>
  <c r="V18"/>
  <c r="N18"/>
  <c r="J18"/>
  <c r="R17"/>
  <c r="N17"/>
  <c r="J17"/>
  <c r="V16"/>
  <c r="R16"/>
  <c r="N16"/>
  <c r="J16"/>
  <c r="V14"/>
  <c r="R14"/>
  <c r="N14"/>
  <c r="J14"/>
  <c r="V13"/>
  <c r="R13"/>
  <c r="N13"/>
  <c r="J13"/>
  <c r="V12"/>
  <c r="R12"/>
  <c r="N12"/>
  <c r="J12"/>
  <c r="V11"/>
  <c r="R11"/>
  <c r="N11"/>
  <c r="J11"/>
  <c r="V9"/>
  <c r="N9"/>
  <c r="J9"/>
  <c r="V8"/>
  <c r="N8"/>
  <c r="J8"/>
  <c r="V7"/>
  <c r="N7"/>
  <c r="J7"/>
  <c r="V6"/>
  <c r="N6"/>
  <c r="J6"/>
  <c r="N102" i="4"/>
  <c r="F102"/>
  <c r="N101"/>
  <c r="F101"/>
  <c r="N100"/>
  <c r="F100"/>
  <c r="N99"/>
  <c r="F99"/>
  <c r="N97"/>
  <c r="J97"/>
  <c r="V63"/>
  <c r="N96"/>
  <c r="J96"/>
  <c r="F96"/>
  <c r="V62"/>
  <c r="N95"/>
  <c r="J95"/>
  <c r="F95"/>
  <c r="V61"/>
  <c r="N94"/>
  <c r="J94"/>
  <c r="F94"/>
  <c r="V60"/>
  <c r="J92"/>
  <c r="J91"/>
  <c r="F91"/>
  <c r="J90"/>
  <c r="F90"/>
  <c r="J89"/>
  <c r="F89"/>
  <c r="N87"/>
  <c r="J87"/>
  <c r="N86"/>
  <c r="J86"/>
  <c r="F86"/>
  <c r="N85"/>
  <c r="J85"/>
  <c r="F85"/>
  <c r="N84"/>
  <c r="J84"/>
  <c r="F84"/>
  <c r="N82"/>
  <c r="J82"/>
  <c r="N81"/>
  <c r="J81"/>
  <c r="F81"/>
  <c r="N80"/>
  <c r="J80"/>
  <c r="F80"/>
  <c r="N79"/>
  <c r="J79"/>
  <c r="F79"/>
  <c r="N77"/>
  <c r="J77"/>
  <c r="N76"/>
  <c r="J76"/>
  <c r="F76"/>
  <c r="N75"/>
  <c r="J75"/>
  <c r="F75"/>
  <c r="N74"/>
  <c r="J74"/>
  <c r="F74"/>
  <c r="R68"/>
  <c r="N68"/>
  <c r="J68"/>
  <c r="R67"/>
  <c r="N67"/>
  <c r="J67"/>
  <c r="R66"/>
  <c r="N66"/>
  <c r="J66"/>
  <c r="R65"/>
  <c r="N65"/>
  <c r="J65"/>
  <c r="R63"/>
  <c r="N63"/>
  <c r="J63"/>
  <c r="R62"/>
  <c r="N62"/>
  <c r="J62"/>
  <c r="R61"/>
  <c r="N61"/>
  <c r="J61"/>
  <c r="R60"/>
  <c r="N60"/>
  <c r="J60"/>
  <c r="R58"/>
  <c r="N58"/>
  <c r="J58"/>
  <c r="R57"/>
  <c r="N57"/>
  <c r="J57"/>
  <c r="R56"/>
  <c r="N56"/>
  <c r="J56"/>
  <c r="R55"/>
  <c r="N55"/>
  <c r="J55"/>
  <c r="R48"/>
  <c r="N48"/>
  <c r="J48"/>
  <c r="F48"/>
  <c r="R47"/>
  <c r="N47"/>
  <c r="J47"/>
  <c r="F47"/>
  <c r="R46"/>
  <c r="N46"/>
  <c r="J46"/>
  <c r="F46"/>
  <c r="R45"/>
  <c r="N45"/>
  <c r="J45"/>
  <c r="F45"/>
  <c r="V34"/>
  <c r="R34"/>
  <c r="N34"/>
  <c r="J34"/>
  <c r="V33"/>
  <c r="R33"/>
  <c r="N33"/>
  <c r="J33"/>
  <c r="F33"/>
  <c r="V32"/>
  <c r="R32"/>
  <c r="N32"/>
  <c r="J32"/>
  <c r="F32"/>
  <c r="V31"/>
  <c r="R31"/>
  <c r="N31"/>
  <c r="J31"/>
  <c r="F31"/>
  <c r="V29"/>
  <c r="R29"/>
  <c r="N29"/>
  <c r="J29"/>
  <c r="V28"/>
  <c r="R28"/>
  <c r="N28"/>
  <c r="J28"/>
  <c r="F28"/>
  <c r="V27"/>
  <c r="R27"/>
  <c r="N27"/>
  <c r="J27"/>
  <c r="F27"/>
  <c r="V26"/>
  <c r="R26"/>
  <c r="N26"/>
  <c r="J26"/>
  <c r="F26"/>
  <c r="V24"/>
  <c r="R24"/>
  <c r="N24"/>
  <c r="J24"/>
  <c r="V23"/>
  <c r="R23"/>
  <c r="N23"/>
  <c r="J23"/>
  <c r="F23"/>
  <c r="V22"/>
  <c r="R22"/>
  <c r="N22"/>
  <c r="J22"/>
  <c r="F22"/>
  <c r="V21"/>
  <c r="R21"/>
  <c r="N21"/>
  <c r="J21"/>
  <c r="F21"/>
  <c r="V14"/>
  <c r="R14"/>
  <c r="N14"/>
  <c r="J14"/>
  <c r="V13"/>
  <c r="R13"/>
  <c r="N13"/>
  <c r="J13"/>
  <c r="F13"/>
  <c r="V12"/>
  <c r="R12"/>
  <c r="N12"/>
  <c r="J12"/>
  <c r="F12"/>
  <c r="V11"/>
  <c r="R11"/>
  <c r="N11"/>
  <c r="J11"/>
  <c r="F11"/>
  <c r="J47" i="3"/>
  <c r="N46"/>
  <c r="J46"/>
  <c r="F46"/>
  <c r="N45"/>
  <c r="J45"/>
  <c r="F45"/>
  <c r="N44"/>
  <c r="J44"/>
  <c r="F44"/>
  <c r="R38"/>
  <c r="N38"/>
  <c r="J38"/>
  <c r="F38"/>
  <c r="R37"/>
  <c r="N37"/>
  <c r="J37"/>
  <c r="F37"/>
  <c r="R36"/>
  <c r="N36"/>
  <c r="J36"/>
  <c r="F36"/>
  <c r="R35"/>
  <c r="N35"/>
  <c r="J35"/>
  <c r="F35"/>
  <c r="R33"/>
  <c r="N33"/>
  <c r="J33"/>
  <c r="F33"/>
  <c r="R32"/>
  <c r="N32"/>
  <c r="J32"/>
  <c r="F32"/>
  <c r="R31"/>
  <c r="N31"/>
  <c r="J31"/>
  <c r="F31"/>
  <c r="R30"/>
  <c r="N30"/>
  <c r="J30"/>
  <c r="F30"/>
  <c r="R28"/>
  <c r="N28"/>
  <c r="J28"/>
  <c r="F28"/>
  <c r="R27"/>
  <c r="N27"/>
  <c r="J27"/>
  <c r="F27"/>
  <c r="R26"/>
  <c r="N26"/>
  <c r="J26"/>
  <c r="F26"/>
  <c r="R25"/>
  <c r="N25"/>
  <c r="J25"/>
  <c r="F25"/>
  <c r="V19"/>
  <c r="R19"/>
  <c r="N19"/>
  <c r="J19"/>
  <c r="F19"/>
  <c r="V18"/>
  <c r="R18"/>
  <c r="N18"/>
  <c r="J18"/>
  <c r="F18"/>
  <c r="V17"/>
  <c r="R17"/>
  <c r="N17"/>
  <c r="J17"/>
  <c r="F17"/>
  <c r="V16"/>
  <c r="R16"/>
  <c r="N16"/>
  <c r="J16"/>
  <c r="F16"/>
  <c r="V14"/>
  <c r="R14"/>
  <c r="N14"/>
  <c r="J14"/>
  <c r="F14"/>
  <c r="V13"/>
  <c r="R13"/>
  <c r="N13"/>
  <c r="J13"/>
  <c r="F13"/>
  <c r="V12"/>
  <c r="R12"/>
  <c r="N12"/>
  <c r="J12"/>
  <c r="F12"/>
  <c r="V11"/>
  <c r="R11"/>
  <c r="N11"/>
  <c r="J11"/>
  <c r="F11"/>
  <c r="V9"/>
  <c r="R9"/>
  <c r="N9"/>
  <c r="J9"/>
  <c r="F9"/>
  <c r="V8"/>
  <c r="R8"/>
  <c r="N8"/>
  <c r="J8"/>
  <c r="F8"/>
  <c r="V7"/>
  <c r="R7"/>
  <c r="N7"/>
  <c r="J7"/>
  <c r="F7"/>
  <c r="V6"/>
  <c r="R6"/>
  <c r="N6"/>
  <c r="J6"/>
  <c r="F6"/>
  <c r="F75" i="1"/>
  <c r="F74"/>
  <c r="F73"/>
  <c r="F70"/>
  <c r="F69"/>
  <c r="F68"/>
  <c r="V57"/>
  <c r="N57"/>
  <c r="J57"/>
  <c r="F57"/>
  <c r="V56"/>
  <c r="R56"/>
  <c r="N56"/>
  <c r="J56"/>
  <c r="F56"/>
  <c r="V55"/>
  <c r="R55"/>
  <c r="N55"/>
  <c r="J55"/>
  <c r="F55"/>
  <c r="V54"/>
  <c r="R54"/>
  <c r="N54"/>
  <c r="J54"/>
  <c r="F54"/>
  <c r="V52"/>
  <c r="N52"/>
  <c r="J52"/>
  <c r="F52"/>
  <c r="V51"/>
  <c r="R51"/>
  <c r="N51"/>
  <c r="J51"/>
  <c r="F51"/>
  <c r="V50"/>
  <c r="R50"/>
  <c r="N50"/>
  <c r="J50"/>
  <c r="F50"/>
  <c r="V49"/>
  <c r="R49"/>
  <c r="N49"/>
  <c r="J49"/>
  <c r="F49"/>
  <c r="F47"/>
  <c r="F46"/>
  <c r="F45"/>
  <c r="F44"/>
  <c r="V38"/>
  <c r="R38"/>
  <c r="N38"/>
  <c r="J38"/>
  <c r="V37"/>
  <c r="R37"/>
  <c r="N37"/>
  <c r="J37"/>
  <c r="V36"/>
  <c r="R36"/>
  <c r="N36"/>
  <c r="J36"/>
  <c r="V35"/>
  <c r="R35"/>
  <c r="N35"/>
  <c r="J35"/>
  <c r="V33"/>
  <c r="R33"/>
  <c r="N33"/>
  <c r="J33"/>
  <c r="F33"/>
  <c r="V32"/>
  <c r="R32"/>
  <c r="N32"/>
  <c r="J32"/>
  <c r="F32"/>
  <c r="V31"/>
  <c r="R31"/>
  <c r="N31"/>
  <c r="J31"/>
  <c r="F31"/>
  <c r="V30"/>
  <c r="R30"/>
  <c r="N30"/>
  <c r="J30"/>
  <c r="F30"/>
  <c r="V28"/>
  <c r="R28"/>
  <c r="N28"/>
  <c r="J28"/>
  <c r="F28"/>
  <c r="V27"/>
  <c r="R27"/>
  <c r="N27"/>
  <c r="J27"/>
  <c r="F27"/>
  <c r="V26"/>
  <c r="R26"/>
  <c r="N26"/>
  <c r="J26"/>
  <c r="F26"/>
  <c r="V25"/>
  <c r="R25"/>
  <c r="N25"/>
  <c r="J25"/>
  <c r="F25"/>
  <c r="V14"/>
  <c r="R14"/>
  <c r="N14"/>
  <c r="J14"/>
  <c r="V13"/>
  <c r="R13"/>
  <c r="N13"/>
  <c r="J13"/>
  <c r="F13"/>
  <c r="V12"/>
  <c r="R12"/>
  <c r="N12"/>
  <c r="J12"/>
  <c r="F12"/>
  <c r="V11"/>
  <c r="R11"/>
  <c r="N11"/>
  <c r="J11"/>
  <c r="F11"/>
  <c r="V9"/>
  <c r="R9"/>
  <c r="N9"/>
  <c r="J9"/>
  <c r="V8"/>
  <c r="R8"/>
  <c r="N8"/>
  <c r="J8"/>
  <c r="F8"/>
  <c r="V7"/>
  <c r="R7"/>
  <c r="N7"/>
  <c r="J7"/>
  <c r="F7"/>
  <c r="V6"/>
  <c r="R6"/>
  <c r="N6"/>
  <c r="J6"/>
  <c r="F6"/>
  <c r="F56" i="2"/>
  <c r="J55"/>
  <c r="F55"/>
  <c r="J54"/>
  <c r="F54"/>
  <c r="J53"/>
  <c r="F53"/>
  <c r="F51"/>
  <c r="J50"/>
  <c r="F50"/>
  <c r="J49"/>
  <c r="F49"/>
  <c r="J48"/>
  <c r="F48"/>
  <c r="R42"/>
  <c r="N42"/>
  <c r="J42"/>
  <c r="F42"/>
  <c r="V41"/>
  <c r="R41"/>
  <c r="N41"/>
  <c r="J41"/>
  <c r="F41"/>
  <c r="V40"/>
  <c r="R40"/>
  <c r="N40"/>
  <c r="J40"/>
  <c r="F40"/>
  <c r="V39"/>
  <c r="R39"/>
  <c r="N39"/>
  <c r="J39"/>
  <c r="F39"/>
  <c r="R37"/>
  <c r="N37"/>
  <c r="J37"/>
  <c r="F37"/>
  <c r="V36"/>
  <c r="R36"/>
  <c r="N36"/>
  <c r="J36"/>
  <c r="F36"/>
  <c r="V35"/>
  <c r="R35"/>
  <c r="N35"/>
  <c r="J35"/>
  <c r="F35"/>
  <c r="V34"/>
  <c r="R34"/>
  <c r="N34"/>
  <c r="J34"/>
  <c r="F34"/>
  <c r="V28"/>
  <c r="R28"/>
  <c r="N28"/>
  <c r="J28"/>
  <c r="F28"/>
  <c r="V27"/>
  <c r="R27"/>
  <c r="N27"/>
  <c r="J27"/>
  <c r="F27"/>
  <c r="V26"/>
  <c r="R26"/>
  <c r="N26"/>
  <c r="J26"/>
  <c r="F26"/>
  <c r="V25"/>
  <c r="R25"/>
  <c r="N25"/>
  <c r="J25"/>
  <c r="F25"/>
  <c r="V23"/>
  <c r="R23"/>
  <c r="N23"/>
  <c r="J23"/>
  <c r="F23"/>
  <c r="V22"/>
  <c r="R22"/>
  <c r="N22"/>
  <c r="J22"/>
  <c r="F22"/>
  <c r="V21"/>
  <c r="R21"/>
  <c r="N21"/>
  <c r="J21"/>
  <c r="F21"/>
  <c r="V20"/>
  <c r="R20"/>
  <c r="N20"/>
  <c r="J20"/>
  <c r="F20"/>
  <c r="V14"/>
  <c r="R14"/>
  <c r="N14"/>
  <c r="J14"/>
  <c r="V13"/>
  <c r="R13"/>
  <c r="N13"/>
  <c r="J13"/>
  <c r="F13"/>
  <c r="V12"/>
  <c r="R12"/>
  <c r="N12"/>
  <c r="J12"/>
  <c r="F12"/>
  <c r="V11"/>
  <c r="R11"/>
  <c r="N11"/>
  <c r="J11"/>
  <c r="F11"/>
  <c r="V9"/>
  <c r="R9"/>
  <c r="N9"/>
  <c r="J9"/>
  <c r="V8"/>
  <c r="R8"/>
  <c r="N8"/>
  <c r="J8"/>
  <c r="F8"/>
  <c r="V7"/>
  <c r="R7"/>
  <c r="N7"/>
  <c r="J7"/>
  <c r="F7"/>
  <c r="V6"/>
  <c r="R6"/>
  <c r="N6"/>
  <c r="J6"/>
  <c r="F6"/>
</calcChain>
</file>

<file path=xl/sharedStrings.xml><?xml version="1.0" encoding="utf-8"?>
<sst xmlns="http://schemas.openxmlformats.org/spreadsheetml/2006/main" count="2419" uniqueCount="186">
  <si>
    <t>Block C</t>
  </si>
  <si>
    <t>0-3"</t>
  </si>
  <si>
    <t>3-6"</t>
  </si>
  <si>
    <t>6-12"</t>
  </si>
  <si>
    <t>12-18"</t>
  </si>
  <si>
    <t>Block I</t>
  </si>
  <si>
    <t>Irrigation Method</t>
  </si>
  <si>
    <t xml:space="preserve">ECe Salinity (ds/m)  </t>
  </si>
  <si>
    <t>Chloride (ppm)</t>
  </si>
  <si>
    <t>Date:</t>
  </si>
  <si>
    <t>6/7/2010 (Previous Season)</t>
  </si>
  <si>
    <t>DLS</t>
  </si>
  <si>
    <t>SSS</t>
  </si>
  <si>
    <t>Block A</t>
  </si>
  <si>
    <t>Block B</t>
  </si>
  <si>
    <t>DP</t>
  </si>
  <si>
    <t>Block</t>
  </si>
  <si>
    <t>II</t>
  </si>
  <si>
    <t>7A</t>
  </si>
  <si>
    <t>7B</t>
  </si>
  <si>
    <t>7I</t>
  </si>
  <si>
    <t>7II</t>
  </si>
  <si>
    <t>Salinity</t>
  </si>
  <si>
    <t>Date</t>
  </si>
  <si>
    <t>Eclipse Block I, 0-3"</t>
  </si>
  <si>
    <t>Eclipse Block I, 6-12"</t>
  </si>
  <si>
    <t>Eclipse Block I, 12-18"</t>
  </si>
  <si>
    <t>Eclipse Block C, 0-3"</t>
  </si>
  <si>
    <t xml:space="preserve">Eclipse Block C, 3-6" </t>
  </si>
  <si>
    <t>Eclipse Block C, 6-12"</t>
  </si>
  <si>
    <t>Eclipse Block C, 12-18"</t>
  </si>
  <si>
    <t>Chlorides</t>
  </si>
  <si>
    <t>Eclipse Block C, 3-6"</t>
  </si>
  <si>
    <t>Eclipse Block I, 3-6"</t>
  </si>
  <si>
    <t>Sammis Block A, 0-3"</t>
  </si>
  <si>
    <t>Sammis Block A, 3-6"</t>
  </si>
  <si>
    <t>Sammis Block A, 6-12"</t>
  </si>
  <si>
    <t>Sammis Block A, 12-18"</t>
  </si>
  <si>
    <t>Sammis Block B, 0-3"</t>
  </si>
  <si>
    <t>Sammis Block B, 3-6"</t>
  </si>
  <si>
    <t>Sammis Block B, 6-12"</t>
  </si>
  <si>
    <t>Sammis Block B, 12-18"</t>
  </si>
  <si>
    <t>Donlon Block A, 0-3"</t>
  </si>
  <si>
    <t>Donlon Block A, 3-6"</t>
  </si>
  <si>
    <t>Donlon Block A, 6-12"</t>
  </si>
  <si>
    <t>Donlon Block A, 12-18"</t>
  </si>
  <si>
    <t>Donlon Block B, 0-3"</t>
  </si>
  <si>
    <t>Donlon Block B, 3-6"</t>
  </si>
  <si>
    <t>Donlon Block B, 6-12"</t>
  </si>
  <si>
    <t>Donlon Block B, 12-18"</t>
  </si>
  <si>
    <t>Donlon Block C, 0-3"</t>
  </si>
  <si>
    <t>Donlon Block C, 3-6"</t>
  </si>
  <si>
    <t>Donlon Block C, 6-12"</t>
  </si>
  <si>
    <t>Donlon Block C, 12-18"</t>
  </si>
  <si>
    <t>Manzanita Block I, 0-3"</t>
  </si>
  <si>
    <t>Manzanita Block I, 3-6"</t>
  </si>
  <si>
    <t>Manzanita Block I, 6-12"</t>
  </si>
  <si>
    <t>Manzanita Block I, 12-18"</t>
  </si>
  <si>
    <t>Manzanita Block II, 0-3"</t>
  </si>
  <si>
    <t>Manzanita Block II, 3-6"</t>
  </si>
  <si>
    <t>Manzanita Block II, 12-18"</t>
  </si>
  <si>
    <t>Manzanita Block II, 6-12"</t>
  </si>
  <si>
    <t>Manzanita Block 7A, 0-3"</t>
  </si>
  <si>
    <t>Manzanita Block 7A, 3-6"</t>
  </si>
  <si>
    <t>Manzanita Block 7A, 6-12"</t>
  </si>
  <si>
    <t>Manzanita Block 7A, 12-18"</t>
  </si>
  <si>
    <t>Manzanita Block 7A 3-6"</t>
  </si>
  <si>
    <t>Manzanita Block 7B, 0-3"</t>
  </si>
  <si>
    <t>Manzanita Block 7B, 3-6"</t>
  </si>
  <si>
    <t>Manzanita Block 7B, 6-12"</t>
  </si>
  <si>
    <t>Manzanita Block 7B, 12-18"</t>
  </si>
  <si>
    <t>Manzanita Block 7I, 0-3"</t>
  </si>
  <si>
    <t>Manzanita Block 7I, 3-6"</t>
  </si>
  <si>
    <t>Manzanita Block 7I, 6-12"</t>
  </si>
  <si>
    <t>Manzanita Block 7I, 12-18"</t>
  </si>
  <si>
    <t>Manzanita Block 7II, 0-3"</t>
  </si>
  <si>
    <t>Manzanita Block 7II, 3-6"</t>
  </si>
  <si>
    <t>Manzanita Block 7II, 6-12"</t>
  </si>
  <si>
    <t>Manzanita Block 7II, 12-18"</t>
  </si>
  <si>
    <t>Eclipse Block C</t>
  </si>
  <si>
    <t>Eclipse Block I</t>
  </si>
  <si>
    <t>Sammis Block A</t>
  </si>
  <si>
    <t>Sammis Block B</t>
  </si>
  <si>
    <t>Donlon Block A</t>
  </si>
  <si>
    <t>Donlon Block B</t>
  </si>
  <si>
    <t>Donlon Block C</t>
  </si>
  <si>
    <t>Eclipse Block II, 3-6"</t>
  </si>
  <si>
    <t>Eclipse Block II, 0-3"</t>
  </si>
  <si>
    <t>Eclipse Block II, 6-12"</t>
  </si>
  <si>
    <t>Eclipse Block II, 12-18"</t>
  </si>
  <si>
    <t>Eclipse Block II</t>
  </si>
  <si>
    <t>3,74</t>
  </si>
  <si>
    <t>Irrigation Methods:  SSS = Solid Set Sprinklers, DP = Drip, DLS = Reduced Sprinkler</t>
  </si>
  <si>
    <t>11/15/2010 (Baseline 1)</t>
  </si>
  <si>
    <t>11/15/2010 (Baseline 2)</t>
  </si>
  <si>
    <t>Manzanita 2 Block I</t>
  </si>
  <si>
    <t>Manzanita 2 Block II</t>
  </si>
  <si>
    <t>Manzanita 7 Block I</t>
  </si>
  <si>
    <t>Manzanita 7 Block II</t>
  </si>
  <si>
    <t>A2</t>
  </si>
  <si>
    <t>A4</t>
  </si>
  <si>
    <t>B2</t>
  </si>
  <si>
    <t>B4</t>
  </si>
  <si>
    <t>I</t>
  </si>
  <si>
    <t>Manzanita Block A4, 0-3"</t>
  </si>
  <si>
    <t>Manzanita Block A4, 3-6"</t>
  </si>
  <si>
    <t>Manzanita Block A4, 6-12"</t>
  </si>
  <si>
    <t>Manzanita Block A4, 12-18"</t>
  </si>
  <si>
    <t>Manzanita Block A2, 0-3"</t>
  </si>
  <si>
    <t>Manzanita Block A2, 3-6"</t>
  </si>
  <si>
    <t>Manzanita Block A2, 6-12"</t>
  </si>
  <si>
    <t>Manzanita Block A2, 12-18"</t>
  </si>
  <si>
    <t>Manzanita Block B4, 0-3"</t>
  </si>
  <si>
    <t>Manzanita Block B4, 3-6"</t>
  </si>
  <si>
    <t>Manzanita Block B4, 6-12"</t>
  </si>
  <si>
    <t>Manzanita Block B4, 12-18"</t>
  </si>
  <si>
    <t>Manzanita Block B2, 0-3"</t>
  </si>
  <si>
    <t>Manzanita Block B2, 3-6"</t>
  </si>
  <si>
    <t>Manzanita Block B2, 6-12"</t>
  </si>
  <si>
    <t>Manzanita Block B2, 12-18"</t>
  </si>
  <si>
    <t>Manzanita 2 Block A4</t>
  </si>
  <si>
    <t>Manzanita 2 Block B4</t>
  </si>
  <si>
    <t>Manzanita 2 Block A2</t>
  </si>
  <si>
    <t>Manzanita 2 Block B2</t>
  </si>
  <si>
    <t>Manzanita 7 Block A</t>
  </si>
  <si>
    <t>Manzanita 7 Block B</t>
  </si>
  <si>
    <t>Captainich Block A, 0-3"</t>
  </si>
  <si>
    <t>Captainich Block A, 3-6"</t>
  </si>
  <si>
    <t>Captainich Block A, 6-12"</t>
  </si>
  <si>
    <t>Captainich Block A, 12-18"</t>
  </si>
  <si>
    <t>Main Block A, 0-3"</t>
  </si>
  <si>
    <t>Main Block A, 3-6"</t>
  </si>
  <si>
    <t>Main Block A, 6-12"</t>
  </si>
  <si>
    <t>Main Block A, 12-18"</t>
  </si>
  <si>
    <t>Main Block B, 0-3"</t>
  </si>
  <si>
    <t>Main Block B, 3-6"</t>
  </si>
  <si>
    <t>Main Block B, 6-12"</t>
  </si>
  <si>
    <t>Main Block B, 12-18"</t>
  </si>
  <si>
    <t>Evaluation of Modified Drip Irrigation Strategies on Strawberries - Sammis Blocks</t>
  </si>
  <si>
    <t>Evaluation of Modified Drip Irrigation Strategies on Strawberries - Eclipse Blocks</t>
  </si>
  <si>
    <t>Evaluation of Modified Drip Irrigation Strategies on Strawberries - Donlon Blocks</t>
  </si>
  <si>
    <t>Evaluation of Modified Drip Irrigation Strategies on Strawberries - Manzanita 2 Blocks</t>
  </si>
  <si>
    <t>Evaluation of Modified Drip Irrigation Strategies on Strawberries - Manzanita 7 Blocks</t>
  </si>
  <si>
    <t>s</t>
  </si>
  <si>
    <t>Main Block A</t>
  </si>
  <si>
    <t>Main Block B</t>
  </si>
  <si>
    <t>Rice Block A, 0-3"</t>
  </si>
  <si>
    <t>Rice Block A, 3-6"</t>
  </si>
  <si>
    <t>Rice Block A, 6-12"</t>
  </si>
  <si>
    <t>Rice Block A, 12-18"</t>
  </si>
  <si>
    <t>Rice Block B, 0-3"</t>
  </si>
  <si>
    <t>Rice Block B, 3-6"</t>
  </si>
  <si>
    <t>Rice Block B, 6-12"</t>
  </si>
  <si>
    <t>Rice Block B, 12-18"</t>
  </si>
  <si>
    <t>Captainich Block A</t>
  </si>
  <si>
    <t>MBA Block A</t>
  </si>
  <si>
    <t>MBA Block A, 0-3"</t>
  </si>
  <si>
    <t>MBA Block A, 3-6"</t>
  </si>
  <si>
    <t>MBA Block A, 6-12"</t>
  </si>
  <si>
    <t>MBA Block A, 12-18"</t>
  </si>
  <si>
    <t>Porter Ranch Block A</t>
  </si>
  <si>
    <t>Porter Ranch Block A, 0-3"</t>
  </si>
  <si>
    <t>Porter Ranch Block A, 3-6"</t>
  </si>
  <si>
    <t>Porter Ranch Block A, 6-12"</t>
  </si>
  <si>
    <t>Porter Ranch Block A, 12-18"</t>
  </si>
  <si>
    <t>Redman Block A</t>
  </si>
  <si>
    <t>Redman Block A, 0-3"</t>
  </si>
  <si>
    <t>Redman Block A, 3-6"</t>
  </si>
  <si>
    <t>Redman Block A, 6-12"</t>
  </si>
  <si>
    <t>Redman Block A, 12-18"</t>
  </si>
  <si>
    <t>Schultz Block A</t>
  </si>
  <si>
    <t>Schultz Block A, 0-3"</t>
  </si>
  <si>
    <t>Schultz Block A, 3-6"</t>
  </si>
  <si>
    <t>Schultz  Block A, 6-12"</t>
  </si>
  <si>
    <t>Schultz  Block A, 12-18"</t>
  </si>
  <si>
    <t>Schultz Block A, 6-12"</t>
  </si>
  <si>
    <t>Schultz Block A, 12-18"</t>
  </si>
  <si>
    <t>Rice Block A</t>
  </si>
  <si>
    <t>Rice Block B</t>
  </si>
  <si>
    <t>Evaluation of Modified Drip Irrigation Strategies on Strawberries - Main Street Blocks</t>
  </si>
  <si>
    <t>Evaluation of Modified Drip Irrigation Strategies on Strawberries - Rice Blocks</t>
  </si>
  <si>
    <t>Evaluation of Modified Drip Irrigation Strategies on Strawberries - Captainich Blocks</t>
  </si>
  <si>
    <t>Evaluation of Modified Drip Irrigation Strategies on Strawberries - MBA Blocks</t>
  </si>
  <si>
    <t>Evaluation of Modified Drip Irrigation Strategies on Strawberries - Porter Blocks</t>
  </si>
  <si>
    <t>Evaluation of Modified Drip Irrigation Strategies on Strawberries - Redman Blocks</t>
  </si>
  <si>
    <t>Evaluation of Modified Drip Irrigation Strategies on Strawberries - Shultz Blocks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</si>
</sst>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Times New Roman"/>
      <family val="1"/>
    </font>
    <font>
      <b/>
      <sz val="22"/>
      <name val="Times New Roman"/>
      <family val="1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0" xfId="0" applyFont="1" applyFill="1" applyBorder="1"/>
    <xf numFmtId="0" fontId="2" fillId="3" borderId="0" xfId="0" applyFont="1" applyFill="1" applyBorder="1" applyAlignment="1">
      <alignment textRotation="255"/>
    </xf>
    <xf numFmtId="0" fontId="3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6" fillId="0" borderId="0" xfId="0" applyFont="1"/>
    <xf numFmtId="14" fontId="0" fillId="0" borderId="0" xfId="0" applyNumberFormat="1"/>
    <xf numFmtId="2" fontId="1" fillId="0" borderId="8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3" borderId="0" xfId="0" applyNumberFormat="1" applyFont="1" applyFill="1" applyBorder="1" applyAlignment="1">
      <alignment horizontal="right"/>
    </xf>
    <xf numFmtId="2" fontId="1" fillId="3" borderId="0" xfId="0" applyNumberFormat="1" applyFont="1" applyFill="1"/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3" borderId="0" xfId="0" applyNumberFormat="1" applyFont="1" applyFill="1" applyBorder="1"/>
    <xf numFmtId="2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2" fontId="1" fillId="4" borderId="5" xfId="0" applyNumberFormat="1" applyFont="1" applyFill="1" applyBorder="1" applyAlignment="1">
      <alignment horizontal="right"/>
    </xf>
    <xf numFmtId="2" fontId="1" fillId="3" borderId="9" xfId="0" applyNumberFormat="1" applyFont="1" applyFill="1" applyBorder="1" applyAlignment="1">
      <alignment horizontal="right"/>
    </xf>
    <xf numFmtId="2" fontId="1" fillId="3" borderId="7" xfId="0" applyNumberFormat="1" applyFont="1" applyFill="1" applyBorder="1" applyAlignment="1">
      <alignment horizontal="right"/>
    </xf>
    <xf numFmtId="0" fontId="7" fillId="0" borderId="0" xfId="0" applyFont="1"/>
    <xf numFmtId="0" fontId="0" fillId="4" borderId="0" xfId="0" applyFill="1"/>
    <xf numFmtId="0" fontId="10" fillId="5" borderId="12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right"/>
    </xf>
    <xf numFmtId="2" fontId="1" fillId="4" borderId="3" xfId="0" applyNumberFormat="1" applyFont="1" applyFill="1" applyBorder="1" applyAlignment="1">
      <alignment horizontal="right"/>
    </xf>
    <xf numFmtId="2" fontId="1" fillId="4" borderId="9" xfId="0" applyNumberFormat="1" applyFont="1" applyFill="1" applyBorder="1" applyAlignment="1">
      <alignment horizontal="right"/>
    </xf>
    <xf numFmtId="2" fontId="1" fillId="4" borderId="7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5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0" fontId="0" fillId="0" borderId="0" xfId="0"/>
    <xf numFmtId="2" fontId="1" fillId="0" borderId="8" xfId="0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right"/>
    </xf>
    <xf numFmtId="2" fontId="1" fillId="0" borderId="9" xfId="0" applyNumberFormat="1" applyFont="1" applyFill="1" applyBorder="1" applyAlignment="1">
      <alignment horizontal="right"/>
    </xf>
    <xf numFmtId="2" fontId="1" fillId="0" borderId="7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2" fontId="1" fillId="9" borderId="8" xfId="0" applyNumberFormat="1" applyFont="1" applyFill="1" applyBorder="1" applyAlignment="1">
      <alignment horizontal="right"/>
    </xf>
    <xf numFmtId="2" fontId="1" fillId="9" borderId="3" xfId="0" applyNumberFormat="1" applyFont="1" applyFill="1" applyBorder="1" applyAlignment="1">
      <alignment horizontal="right"/>
    </xf>
    <xf numFmtId="2" fontId="1" fillId="9" borderId="1" xfId="0" applyNumberFormat="1" applyFont="1" applyFill="1" applyBorder="1" applyAlignment="1">
      <alignment horizontal="right"/>
    </xf>
    <xf numFmtId="2" fontId="1" fillId="9" borderId="5" xfId="0" applyNumberFormat="1" applyFont="1" applyFill="1" applyBorder="1" applyAlignment="1">
      <alignment horizontal="right"/>
    </xf>
    <xf numFmtId="2" fontId="1" fillId="9" borderId="9" xfId="0" applyNumberFormat="1" applyFont="1" applyFill="1" applyBorder="1" applyAlignment="1">
      <alignment horizontal="right"/>
    </xf>
    <xf numFmtId="2" fontId="1" fillId="9" borderId="7" xfId="0" applyNumberFormat="1" applyFont="1" applyFill="1" applyBorder="1" applyAlignment="1">
      <alignment horizontal="right"/>
    </xf>
    <xf numFmtId="0" fontId="11" fillId="5" borderId="12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 wrapText="1"/>
    </xf>
    <xf numFmtId="0" fontId="0" fillId="0" borderId="0" xfId="0" applyFill="1"/>
    <xf numFmtId="2" fontId="0" fillId="0" borderId="0" xfId="0" applyNumberFormat="1"/>
    <xf numFmtId="0" fontId="0" fillId="3" borderId="0" xfId="0" applyFill="1"/>
    <xf numFmtId="0" fontId="4" fillId="0" borderId="0" xfId="0" applyFont="1" applyAlignment="1"/>
    <xf numFmtId="0" fontId="0" fillId="0" borderId="0" xfId="0" applyAlignment="1"/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/>
    <xf numFmtId="0" fontId="4" fillId="0" borderId="0" xfId="0" applyFont="1" applyAlignment="1"/>
    <xf numFmtId="0" fontId="0" fillId="0" borderId="0" xfId="0" applyAlignment="1"/>
    <xf numFmtId="2" fontId="1" fillId="4" borderId="13" xfId="0" applyNumberFormat="1" applyFont="1" applyFill="1" applyBorder="1" applyAlignment="1">
      <alignment horizontal="right"/>
    </xf>
    <xf numFmtId="2" fontId="1" fillId="4" borderId="14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/>
    <xf numFmtId="0" fontId="0" fillId="0" borderId="0" xfId="0" applyAlignment="1"/>
    <xf numFmtId="2" fontId="1" fillId="0" borderId="0" xfId="0" applyNumberFormat="1" applyFont="1" applyFill="1" applyAlignment="1">
      <alignment horizontal="right"/>
    </xf>
    <xf numFmtId="0" fontId="1" fillId="0" borderId="0" xfId="0" applyFont="1" applyAlignment="1"/>
    <xf numFmtId="0" fontId="10" fillId="7" borderId="10" xfId="0" applyFont="1" applyFill="1" applyBorder="1" applyAlignment="1">
      <alignment textRotation="255"/>
    </xf>
    <xf numFmtId="0" fontId="9" fillId="7" borderId="11" xfId="0" applyFont="1" applyFill="1" applyBorder="1" applyAlignment="1">
      <alignment textRotation="255"/>
    </xf>
    <xf numFmtId="0" fontId="10" fillId="6" borderId="2" xfId="0" applyFont="1" applyFill="1" applyBorder="1" applyAlignment="1">
      <alignment textRotation="255"/>
    </xf>
    <xf numFmtId="0" fontId="10" fillId="6" borderId="4" xfId="0" applyFont="1" applyFill="1" applyBorder="1" applyAlignment="1">
      <alignment textRotation="255"/>
    </xf>
    <xf numFmtId="0" fontId="10" fillId="6" borderId="6" xfId="0" applyFont="1" applyFill="1" applyBorder="1" applyAlignment="1">
      <alignment textRotation="255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textRotation="255"/>
    </xf>
    <xf numFmtId="0" fontId="10" fillId="5" borderId="4" xfId="0" applyFont="1" applyFill="1" applyBorder="1" applyAlignment="1">
      <alignment textRotation="255"/>
    </xf>
    <xf numFmtId="0" fontId="10" fillId="5" borderId="6" xfId="0" applyFont="1" applyFill="1" applyBorder="1" applyAlignment="1">
      <alignment textRotation="255"/>
    </xf>
    <xf numFmtId="0" fontId="10" fillId="7" borderId="2" xfId="0" applyFont="1" applyFill="1" applyBorder="1" applyAlignment="1">
      <alignment textRotation="255"/>
    </xf>
    <xf numFmtId="0" fontId="10" fillId="7" borderId="4" xfId="0" applyFont="1" applyFill="1" applyBorder="1" applyAlignment="1">
      <alignment textRotation="255"/>
    </xf>
    <xf numFmtId="0" fontId="10" fillId="7" borderId="6" xfId="0" applyFont="1" applyFill="1" applyBorder="1" applyAlignment="1">
      <alignment textRotation="255"/>
    </xf>
    <xf numFmtId="0" fontId="10" fillId="6" borderId="10" xfId="0" applyFont="1" applyFill="1" applyBorder="1" applyAlignment="1">
      <alignment textRotation="255"/>
    </xf>
    <xf numFmtId="0" fontId="9" fillId="6" borderId="11" xfId="0" applyFont="1" applyFill="1" applyBorder="1" applyAlignment="1">
      <alignment textRotation="255"/>
    </xf>
    <xf numFmtId="0" fontId="10" fillId="8" borderId="10" xfId="0" applyFont="1" applyFill="1" applyBorder="1" applyAlignment="1">
      <alignment textRotation="255"/>
    </xf>
    <xf numFmtId="0" fontId="9" fillId="8" borderId="11" xfId="0" applyFont="1" applyFill="1" applyBorder="1" applyAlignment="1">
      <alignment textRotation="255"/>
    </xf>
    <xf numFmtId="0" fontId="10" fillId="5" borderId="10" xfId="0" applyFont="1" applyFill="1" applyBorder="1" applyAlignment="1">
      <alignment textRotation="255"/>
    </xf>
    <xf numFmtId="0" fontId="9" fillId="5" borderId="11" xfId="0" applyFont="1" applyFill="1" applyBorder="1" applyAlignment="1">
      <alignment textRotation="255"/>
    </xf>
    <xf numFmtId="0" fontId="10" fillId="5" borderId="11" xfId="0" applyFont="1" applyFill="1" applyBorder="1" applyAlignment="1">
      <alignment textRotation="255"/>
    </xf>
    <xf numFmtId="0" fontId="10" fillId="5" borderId="12" xfId="0" applyFont="1" applyFill="1" applyBorder="1" applyAlignment="1">
      <alignment textRotation="255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144578313252716E-2"/>
          <c:y val="8.7693284386560974E-2"/>
          <c:w val="0.93418473895582332"/>
          <c:h val="0.71314562863678432"/>
        </c:manualLayout>
      </c:layout>
      <c:lineChart>
        <c:grouping val="standard"/>
        <c:ser>
          <c:idx val="0"/>
          <c:order val="0"/>
          <c:tx>
            <c:strRef>
              <c:f>'Data for Graphs'!$B$3</c:f>
              <c:strCache>
                <c:ptCount val="1"/>
                <c:pt idx="0">
                  <c:v>Eclipse Block C,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Graphs'!$A$4:$A$14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Graphs'!$B$4:$B$14</c:f>
              <c:numCache>
                <c:formatCode>General</c:formatCode>
                <c:ptCount val="11"/>
                <c:pt idx="0">
                  <c:v>3.28</c:v>
                </c:pt>
                <c:pt idx="1">
                  <c:v>3.88</c:v>
                </c:pt>
                <c:pt idx="2">
                  <c:v>3.82</c:v>
                </c:pt>
                <c:pt idx="3">
                  <c:v>4.3499999999999996</c:v>
                </c:pt>
                <c:pt idx="4">
                  <c:v>4.96</c:v>
                </c:pt>
                <c:pt idx="5">
                  <c:v>3.99</c:v>
                </c:pt>
                <c:pt idx="6">
                  <c:v>5.0999999999999996</c:v>
                </c:pt>
                <c:pt idx="7">
                  <c:v>6.69</c:v>
                </c:pt>
                <c:pt idx="8">
                  <c:v>6.24</c:v>
                </c:pt>
                <c:pt idx="9">
                  <c:v>6.56</c:v>
                </c:pt>
                <c:pt idx="10">
                  <c:v>5.52</c:v>
                </c:pt>
              </c:numCache>
            </c:numRef>
          </c:val>
        </c:ser>
        <c:ser>
          <c:idx val="1"/>
          <c:order val="1"/>
          <c:tx>
            <c:strRef>
              <c:f>'Data for Graphs'!$C$3</c:f>
              <c:strCache>
                <c:ptCount val="1"/>
                <c:pt idx="0">
                  <c:v>Eclipse Block C, 3-6" 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Graphs'!$A$4:$A$14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Graphs'!$C$4:$C$14</c:f>
              <c:numCache>
                <c:formatCode>General</c:formatCode>
                <c:ptCount val="11"/>
                <c:pt idx="0">
                  <c:v>3.56</c:v>
                </c:pt>
                <c:pt idx="1">
                  <c:v>3.9</c:v>
                </c:pt>
                <c:pt idx="2">
                  <c:v>3.64</c:v>
                </c:pt>
                <c:pt idx="3">
                  <c:v>4.29</c:v>
                </c:pt>
                <c:pt idx="4">
                  <c:v>5.96</c:v>
                </c:pt>
                <c:pt idx="5">
                  <c:v>3.87</c:v>
                </c:pt>
                <c:pt idx="6">
                  <c:v>4.79</c:v>
                </c:pt>
                <c:pt idx="7">
                  <c:v>5.94</c:v>
                </c:pt>
                <c:pt idx="8">
                  <c:v>5.63</c:v>
                </c:pt>
                <c:pt idx="9">
                  <c:v>6.16</c:v>
                </c:pt>
                <c:pt idx="10">
                  <c:v>7.78</c:v>
                </c:pt>
              </c:numCache>
            </c:numRef>
          </c:val>
        </c:ser>
        <c:ser>
          <c:idx val="2"/>
          <c:order val="2"/>
          <c:tx>
            <c:strRef>
              <c:f>'Data for Graphs'!$D$3</c:f>
              <c:strCache>
                <c:ptCount val="1"/>
                <c:pt idx="0">
                  <c:v>Eclipse Block C,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Graphs'!$A$4:$A$14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Graphs'!$D$4:$D$14</c:f>
              <c:numCache>
                <c:formatCode>General</c:formatCode>
                <c:ptCount val="11"/>
                <c:pt idx="0">
                  <c:v>3.26</c:v>
                </c:pt>
                <c:pt idx="1">
                  <c:v>3.9</c:v>
                </c:pt>
                <c:pt idx="2">
                  <c:v>3.59</c:v>
                </c:pt>
                <c:pt idx="3">
                  <c:v>3.55</c:v>
                </c:pt>
                <c:pt idx="4">
                  <c:v>4.51</c:v>
                </c:pt>
                <c:pt idx="5">
                  <c:v>4.18</c:v>
                </c:pt>
                <c:pt idx="6">
                  <c:v>4.17</c:v>
                </c:pt>
                <c:pt idx="7">
                  <c:v>5.05</c:v>
                </c:pt>
                <c:pt idx="8">
                  <c:v>4.8</c:v>
                </c:pt>
                <c:pt idx="9">
                  <c:v>4.76</c:v>
                </c:pt>
                <c:pt idx="10">
                  <c:v>4.88</c:v>
                </c:pt>
              </c:numCache>
            </c:numRef>
          </c:val>
        </c:ser>
        <c:ser>
          <c:idx val="3"/>
          <c:order val="3"/>
          <c:tx>
            <c:strRef>
              <c:f>'Data for Graphs'!$E$3</c:f>
              <c:strCache>
                <c:ptCount val="1"/>
                <c:pt idx="0">
                  <c:v>Eclipse Block C,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Graphs'!$A$4:$A$14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Graphs'!$E$4:$E$14</c:f>
              <c:numCache>
                <c:formatCode>General</c:formatCode>
                <c:ptCount val="11"/>
                <c:pt idx="1">
                  <c:v>3.25</c:v>
                </c:pt>
                <c:pt idx="2">
                  <c:v>4.05</c:v>
                </c:pt>
                <c:pt idx="3">
                  <c:v>4.16</c:v>
                </c:pt>
                <c:pt idx="4">
                  <c:v>4.83</c:v>
                </c:pt>
                <c:pt idx="5">
                  <c:v>4.0199999999999996</c:v>
                </c:pt>
                <c:pt idx="6">
                  <c:v>5.21</c:v>
                </c:pt>
                <c:pt idx="7">
                  <c:v>4.6100000000000003</c:v>
                </c:pt>
                <c:pt idx="8">
                  <c:v>4.97</c:v>
                </c:pt>
                <c:pt idx="9">
                  <c:v>4.4800000000000004</c:v>
                </c:pt>
                <c:pt idx="10">
                  <c:v>4.29</c:v>
                </c:pt>
              </c:numCache>
            </c:numRef>
          </c:val>
        </c:ser>
        <c:marker val="1"/>
        <c:axId val="69862528"/>
        <c:axId val="69864448"/>
      </c:lineChart>
      <c:dateAx>
        <c:axId val="69862528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864448"/>
        <c:crosses val="autoZero"/>
        <c:auto val="1"/>
        <c:lblOffset val="100"/>
        <c:majorUnit val="15"/>
        <c:majorTimeUnit val="days"/>
      </c:dateAx>
      <c:valAx>
        <c:axId val="6986444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86252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632866254538824E-2"/>
          <c:y val="8.8238482384824415E-2"/>
          <c:w val="0.93351723288460253"/>
          <c:h val="0.74821859462689344"/>
        </c:manualLayout>
      </c:layout>
      <c:lineChart>
        <c:grouping val="standard"/>
        <c:ser>
          <c:idx val="0"/>
          <c:order val="0"/>
          <c:tx>
            <c:strRef>
              <c:f>'Data for Graphs'!$B$76</c:f>
              <c:strCache>
                <c:ptCount val="1"/>
                <c:pt idx="0">
                  <c:v>Sammis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Graphs'!$A$77:$A$96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Graphs'!$B$77:$B$96</c:f>
              <c:numCache>
                <c:formatCode>General</c:formatCode>
                <c:ptCount val="20"/>
                <c:pt idx="0">
                  <c:v>3.92</c:v>
                </c:pt>
                <c:pt idx="1">
                  <c:v>4.1500000000000004</c:v>
                </c:pt>
                <c:pt idx="2">
                  <c:v>3.05</c:v>
                </c:pt>
                <c:pt idx="3">
                  <c:v>4.43</c:v>
                </c:pt>
                <c:pt idx="4">
                  <c:v>3.98</c:v>
                </c:pt>
                <c:pt idx="5">
                  <c:v>4.28</c:v>
                </c:pt>
                <c:pt idx="6">
                  <c:v>4.01</c:v>
                </c:pt>
                <c:pt idx="7">
                  <c:v>5.17</c:v>
                </c:pt>
                <c:pt idx="8">
                  <c:v>4.95</c:v>
                </c:pt>
                <c:pt idx="9">
                  <c:v>4.99</c:v>
                </c:pt>
                <c:pt idx="10">
                  <c:v>5.51</c:v>
                </c:pt>
                <c:pt idx="11">
                  <c:v>5.0199999999999996</c:v>
                </c:pt>
                <c:pt idx="12">
                  <c:v>6.37</c:v>
                </c:pt>
                <c:pt idx="13">
                  <c:v>4.41</c:v>
                </c:pt>
                <c:pt idx="14">
                  <c:v>4.6100000000000003</c:v>
                </c:pt>
                <c:pt idx="15">
                  <c:v>4.72</c:v>
                </c:pt>
                <c:pt idx="16">
                  <c:v>5.53</c:v>
                </c:pt>
                <c:pt idx="17">
                  <c:v>4.46</c:v>
                </c:pt>
                <c:pt idx="18">
                  <c:v>3.69</c:v>
                </c:pt>
                <c:pt idx="19">
                  <c:v>4.2</c:v>
                </c:pt>
              </c:numCache>
            </c:numRef>
          </c:val>
        </c:ser>
        <c:ser>
          <c:idx val="1"/>
          <c:order val="1"/>
          <c:tx>
            <c:strRef>
              <c:f>'Data for Graphs'!$C$76</c:f>
              <c:strCache>
                <c:ptCount val="1"/>
                <c:pt idx="0">
                  <c:v>Sammis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Graphs'!$A$77:$A$96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Graphs'!$C$77:$C$96</c:f>
              <c:numCache>
                <c:formatCode>General</c:formatCode>
                <c:ptCount val="20"/>
                <c:pt idx="0">
                  <c:v>4.41</c:v>
                </c:pt>
                <c:pt idx="1">
                  <c:v>4.13</c:v>
                </c:pt>
                <c:pt idx="2">
                  <c:v>5.28</c:v>
                </c:pt>
                <c:pt idx="3">
                  <c:v>4.4000000000000004</c:v>
                </c:pt>
                <c:pt idx="4">
                  <c:v>4.24</c:v>
                </c:pt>
                <c:pt idx="5">
                  <c:v>6.52</c:v>
                </c:pt>
                <c:pt idx="6">
                  <c:v>4.2699999999999996</c:v>
                </c:pt>
                <c:pt idx="7">
                  <c:v>4.8</c:v>
                </c:pt>
                <c:pt idx="8">
                  <c:v>5.73</c:v>
                </c:pt>
                <c:pt idx="9">
                  <c:v>11.2</c:v>
                </c:pt>
                <c:pt idx="10">
                  <c:v>6.85</c:v>
                </c:pt>
                <c:pt idx="11">
                  <c:v>9.67</c:v>
                </c:pt>
                <c:pt idx="12">
                  <c:v>8.6300000000000008</c:v>
                </c:pt>
                <c:pt idx="13">
                  <c:v>5.2</c:v>
                </c:pt>
                <c:pt idx="14">
                  <c:v>6.6</c:v>
                </c:pt>
                <c:pt idx="15">
                  <c:v>4.6900000000000004</c:v>
                </c:pt>
                <c:pt idx="16">
                  <c:v>8.06</c:v>
                </c:pt>
                <c:pt idx="17">
                  <c:v>5.0999999999999996</c:v>
                </c:pt>
                <c:pt idx="18">
                  <c:v>3.64</c:v>
                </c:pt>
                <c:pt idx="19">
                  <c:v>4.04</c:v>
                </c:pt>
              </c:numCache>
            </c:numRef>
          </c:val>
        </c:ser>
        <c:ser>
          <c:idx val="2"/>
          <c:order val="2"/>
          <c:tx>
            <c:strRef>
              <c:f>'Data for Graphs'!$D$76</c:f>
              <c:strCache>
                <c:ptCount val="1"/>
                <c:pt idx="0">
                  <c:v>Sammis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Graphs'!$A$77:$A$96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Graphs'!$D$77:$D$96</c:f>
              <c:numCache>
                <c:formatCode>General</c:formatCode>
                <c:ptCount val="20"/>
                <c:pt idx="0">
                  <c:v>4.57</c:v>
                </c:pt>
                <c:pt idx="1">
                  <c:v>3.35</c:v>
                </c:pt>
                <c:pt idx="2">
                  <c:v>4.26</c:v>
                </c:pt>
                <c:pt idx="3">
                  <c:v>4.8099999999999996</c:v>
                </c:pt>
                <c:pt idx="4">
                  <c:v>4.1500000000000004</c:v>
                </c:pt>
                <c:pt idx="5">
                  <c:v>4.0999999999999996</c:v>
                </c:pt>
                <c:pt idx="6">
                  <c:v>4.38</c:v>
                </c:pt>
                <c:pt idx="7">
                  <c:v>5.2</c:v>
                </c:pt>
                <c:pt idx="8">
                  <c:v>4.9400000000000004</c:v>
                </c:pt>
                <c:pt idx="9">
                  <c:v>4.58</c:v>
                </c:pt>
                <c:pt idx="10">
                  <c:v>4.29</c:v>
                </c:pt>
                <c:pt idx="11">
                  <c:v>4.53</c:v>
                </c:pt>
                <c:pt idx="12">
                  <c:v>4.53</c:v>
                </c:pt>
                <c:pt idx="13">
                  <c:v>3.98</c:v>
                </c:pt>
                <c:pt idx="14">
                  <c:v>4.9000000000000004</c:v>
                </c:pt>
                <c:pt idx="15">
                  <c:v>4.5</c:v>
                </c:pt>
                <c:pt idx="16">
                  <c:v>3.75</c:v>
                </c:pt>
                <c:pt idx="17">
                  <c:v>3.71</c:v>
                </c:pt>
                <c:pt idx="18">
                  <c:v>3.78</c:v>
                </c:pt>
                <c:pt idx="19">
                  <c:v>3.72</c:v>
                </c:pt>
              </c:numCache>
            </c:numRef>
          </c:val>
        </c:ser>
        <c:ser>
          <c:idx val="3"/>
          <c:order val="3"/>
          <c:tx>
            <c:strRef>
              <c:f>'Data for Graphs'!$E$76</c:f>
              <c:strCache>
                <c:ptCount val="1"/>
                <c:pt idx="0">
                  <c:v>Sammis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Graphs'!$A$77:$A$96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Graphs'!$E$77:$E$96</c:f>
              <c:numCache>
                <c:formatCode>General</c:formatCode>
                <c:ptCount val="20"/>
                <c:pt idx="1">
                  <c:v>2.63</c:v>
                </c:pt>
                <c:pt idx="2">
                  <c:v>4.2</c:v>
                </c:pt>
                <c:pt idx="3">
                  <c:v>4.1500000000000004</c:v>
                </c:pt>
                <c:pt idx="4">
                  <c:v>4.16</c:v>
                </c:pt>
                <c:pt idx="5">
                  <c:v>4.28</c:v>
                </c:pt>
                <c:pt idx="6">
                  <c:v>3.93</c:v>
                </c:pt>
                <c:pt idx="7">
                  <c:v>4.01</c:v>
                </c:pt>
                <c:pt idx="8">
                  <c:v>4.05</c:v>
                </c:pt>
                <c:pt idx="9">
                  <c:v>5.1100000000000003</c:v>
                </c:pt>
                <c:pt idx="10">
                  <c:v>3.58</c:v>
                </c:pt>
                <c:pt idx="11">
                  <c:v>4.57</c:v>
                </c:pt>
                <c:pt idx="12">
                  <c:v>4.1399999999999997</c:v>
                </c:pt>
                <c:pt idx="13">
                  <c:v>3.75</c:v>
                </c:pt>
                <c:pt idx="15">
                  <c:v>5.38</c:v>
                </c:pt>
              </c:numCache>
            </c:numRef>
          </c:val>
        </c:ser>
        <c:marker val="1"/>
        <c:axId val="70416640"/>
        <c:axId val="70435200"/>
      </c:lineChart>
      <c:dateAx>
        <c:axId val="70416640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435200"/>
        <c:crosses val="autoZero"/>
        <c:auto val="1"/>
        <c:lblOffset val="100"/>
        <c:majorUnit val="20"/>
        <c:majorTimeUnit val="days"/>
      </c:dateAx>
      <c:valAx>
        <c:axId val="70435200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416640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632866254538824E-2"/>
          <c:y val="8.7762803234501349E-2"/>
          <c:w val="0.93351723288460253"/>
          <c:h val="0.71507455907634188"/>
        </c:manualLayout>
      </c:layout>
      <c:lineChart>
        <c:grouping val="standard"/>
        <c:ser>
          <c:idx val="0"/>
          <c:order val="0"/>
          <c:tx>
            <c:strRef>
              <c:f>'Data for Graphs'!$B$98</c:f>
              <c:strCache>
                <c:ptCount val="1"/>
                <c:pt idx="0">
                  <c:v>Donlon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Graphs'!$A$99:$A$112</c:f>
              <c:numCache>
                <c:formatCode>m/d/yyyy</c:formatCode>
                <c:ptCount val="14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Graphs'!$B$99:$B$112</c:f>
              <c:numCache>
                <c:formatCode>General</c:formatCode>
                <c:ptCount val="14"/>
                <c:pt idx="0">
                  <c:v>3.71</c:v>
                </c:pt>
                <c:pt idx="1">
                  <c:v>4.2699999999999996</c:v>
                </c:pt>
                <c:pt idx="2">
                  <c:v>3.18</c:v>
                </c:pt>
                <c:pt idx="3">
                  <c:v>4.71</c:v>
                </c:pt>
                <c:pt idx="4">
                  <c:v>4.82</c:v>
                </c:pt>
                <c:pt idx="5">
                  <c:v>3.79</c:v>
                </c:pt>
                <c:pt idx="6">
                  <c:v>5.61</c:v>
                </c:pt>
                <c:pt idx="7">
                  <c:v>4.8499999999999996</c:v>
                </c:pt>
                <c:pt idx="8">
                  <c:v>5.84</c:v>
                </c:pt>
                <c:pt idx="9">
                  <c:v>5.8</c:v>
                </c:pt>
                <c:pt idx="10">
                  <c:v>5.21</c:v>
                </c:pt>
                <c:pt idx="11">
                  <c:v>4.78</c:v>
                </c:pt>
                <c:pt idx="12">
                  <c:v>4.6100000000000003</c:v>
                </c:pt>
                <c:pt idx="13">
                  <c:v>1.79</c:v>
                </c:pt>
              </c:numCache>
            </c:numRef>
          </c:val>
        </c:ser>
        <c:ser>
          <c:idx val="1"/>
          <c:order val="1"/>
          <c:tx>
            <c:strRef>
              <c:f>'Data for Graphs'!$C$98</c:f>
              <c:strCache>
                <c:ptCount val="1"/>
                <c:pt idx="0">
                  <c:v>Donlon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Graphs'!$A$99:$A$112</c:f>
              <c:numCache>
                <c:formatCode>m/d/yyyy</c:formatCode>
                <c:ptCount val="14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Graphs'!$C$99:$C$112</c:f>
              <c:numCache>
                <c:formatCode>General</c:formatCode>
                <c:ptCount val="14"/>
                <c:pt idx="0">
                  <c:v>3.63</c:v>
                </c:pt>
                <c:pt idx="1">
                  <c:v>3.61</c:v>
                </c:pt>
                <c:pt idx="2">
                  <c:v>3.36</c:v>
                </c:pt>
                <c:pt idx="3">
                  <c:v>5.18</c:v>
                </c:pt>
                <c:pt idx="4">
                  <c:v>3.96</c:v>
                </c:pt>
                <c:pt idx="5">
                  <c:v>3.32</c:v>
                </c:pt>
                <c:pt idx="6">
                  <c:v>4.83</c:v>
                </c:pt>
                <c:pt idx="7">
                  <c:v>9.34</c:v>
                </c:pt>
                <c:pt idx="8">
                  <c:v>6.72</c:v>
                </c:pt>
                <c:pt idx="9">
                  <c:v>9.66</c:v>
                </c:pt>
                <c:pt idx="10">
                  <c:v>10.3</c:v>
                </c:pt>
                <c:pt idx="11">
                  <c:v>8.3000000000000007</c:v>
                </c:pt>
                <c:pt idx="12">
                  <c:v>15</c:v>
                </c:pt>
                <c:pt idx="13">
                  <c:v>6.4</c:v>
                </c:pt>
              </c:numCache>
            </c:numRef>
          </c:val>
        </c:ser>
        <c:ser>
          <c:idx val="2"/>
          <c:order val="2"/>
          <c:tx>
            <c:strRef>
              <c:f>'Data for Graphs'!$D$98</c:f>
              <c:strCache>
                <c:ptCount val="1"/>
                <c:pt idx="0">
                  <c:v>Donlon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Graphs'!$A$99:$A$112</c:f>
              <c:numCache>
                <c:formatCode>m/d/yyyy</c:formatCode>
                <c:ptCount val="14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Graphs'!$D$99:$D$112</c:f>
              <c:numCache>
                <c:formatCode>General</c:formatCode>
                <c:ptCount val="14"/>
                <c:pt idx="0">
                  <c:v>2.09</c:v>
                </c:pt>
                <c:pt idx="1">
                  <c:v>2.5</c:v>
                </c:pt>
                <c:pt idx="2">
                  <c:v>3.28</c:v>
                </c:pt>
                <c:pt idx="3">
                  <c:v>4.67</c:v>
                </c:pt>
                <c:pt idx="4">
                  <c:v>3.83</c:v>
                </c:pt>
                <c:pt idx="5">
                  <c:v>3.97</c:v>
                </c:pt>
                <c:pt idx="6">
                  <c:v>5.53</c:v>
                </c:pt>
                <c:pt idx="7">
                  <c:v>4.34</c:v>
                </c:pt>
                <c:pt idx="8">
                  <c:v>4.4800000000000004</c:v>
                </c:pt>
                <c:pt idx="9">
                  <c:v>5.04</c:v>
                </c:pt>
                <c:pt idx="10">
                  <c:v>7.58</c:v>
                </c:pt>
                <c:pt idx="11">
                  <c:v>4.2300000000000004</c:v>
                </c:pt>
                <c:pt idx="12">
                  <c:v>3.5</c:v>
                </c:pt>
                <c:pt idx="13">
                  <c:v>1.67</c:v>
                </c:pt>
              </c:numCache>
            </c:numRef>
          </c:val>
        </c:ser>
        <c:ser>
          <c:idx val="3"/>
          <c:order val="3"/>
          <c:tx>
            <c:strRef>
              <c:f>'Data for Graphs'!$E$98</c:f>
              <c:strCache>
                <c:ptCount val="1"/>
                <c:pt idx="0">
                  <c:v>Donlon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Graphs'!$A$99:$A$112</c:f>
              <c:numCache>
                <c:formatCode>m/d/yyyy</c:formatCode>
                <c:ptCount val="14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Graphs'!$E$99:$E$112</c:f>
              <c:numCache>
                <c:formatCode>General</c:formatCode>
                <c:ptCount val="14"/>
                <c:pt idx="0">
                  <c:v>2.62</c:v>
                </c:pt>
                <c:pt idx="1">
                  <c:v>2.38</c:v>
                </c:pt>
                <c:pt idx="2">
                  <c:v>2.27</c:v>
                </c:pt>
                <c:pt idx="3">
                  <c:v>3.76</c:v>
                </c:pt>
                <c:pt idx="4">
                  <c:v>3.73</c:v>
                </c:pt>
                <c:pt idx="5">
                  <c:v>3.44</c:v>
                </c:pt>
                <c:pt idx="6">
                  <c:v>4.3</c:v>
                </c:pt>
                <c:pt idx="7">
                  <c:v>4.5599999999999996</c:v>
                </c:pt>
                <c:pt idx="8">
                  <c:v>3.54</c:v>
                </c:pt>
                <c:pt idx="9">
                  <c:v>6.13</c:v>
                </c:pt>
                <c:pt idx="11">
                  <c:v>4.3099999999999996</c:v>
                </c:pt>
              </c:numCache>
            </c:numRef>
          </c:val>
        </c:ser>
        <c:marker val="1"/>
        <c:axId val="70600960"/>
        <c:axId val="70603136"/>
      </c:lineChart>
      <c:dateAx>
        <c:axId val="70600960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603136"/>
        <c:crosses val="autoZero"/>
        <c:auto val="1"/>
        <c:lblOffset val="100"/>
        <c:majorUnit val="20"/>
        <c:majorTimeUnit val="days"/>
      </c:dateAx>
      <c:valAx>
        <c:axId val="70603136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600960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977596741344186E-2"/>
          <c:y val="8.7526881720430591E-2"/>
          <c:w val="0.92509979633401562"/>
          <c:h val="0.71368995004656899"/>
        </c:manualLayout>
      </c:layout>
      <c:lineChart>
        <c:grouping val="standard"/>
        <c:ser>
          <c:idx val="0"/>
          <c:order val="0"/>
          <c:tx>
            <c:strRef>
              <c:f>'Data for Graphs'!$H$98</c:f>
              <c:strCache>
                <c:ptCount val="1"/>
                <c:pt idx="0">
                  <c:v>Donlon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Graphs'!$G$99:$G$112</c:f>
              <c:numCache>
                <c:formatCode>m/d/yyyy</c:formatCode>
                <c:ptCount val="14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Graphs'!$H$99:$H$112</c:f>
              <c:numCache>
                <c:formatCode>General</c:formatCode>
                <c:ptCount val="14"/>
                <c:pt idx="0">
                  <c:v>163.1</c:v>
                </c:pt>
                <c:pt idx="1">
                  <c:v>360.5</c:v>
                </c:pt>
                <c:pt idx="2">
                  <c:v>50.4</c:v>
                </c:pt>
                <c:pt idx="3">
                  <c:v>263.2</c:v>
                </c:pt>
                <c:pt idx="4">
                  <c:v>306.60000000000002</c:v>
                </c:pt>
                <c:pt idx="5">
                  <c:v>156.1</c:v>
                </c:pt>
                <c:pt idx="6">
                  <c:v>521.5</c:v>
                </c:pt>
                <c:pt idx="7">
                  <c:v>313.25</c:v>
                </c:pt>
                <c:pt idx="8">
                  <c:v>448</c:v>
                </c:pt>
                <c:pt idx="9">
                  <c:v>210</c:v>
                </c:pt>
                <c:pt idx="10">
                  <c:v>194.25</c:v>
                </c:pt>
                <c:pt idx="11">
                  <c:v>92.05</c:v>
                </c:pt>
                <c:pt idx="12">
                  <c:v>67.900000000000006</c:v>
                </c:pt>
                <c:pt idx="13">
                  <c:v>29.75</c:v>
                </c:pt>
              </c:numCache>
            </c:numRef>
          </c:val>
        </c:ser>
        <c:ser>
          <c:idx val="1"/>
          <c:order val="1"/>
          <c:tx>
            <c:strRef>
              <c:f>'Data for Graphs'!$I$98</c:f>
              <c:strCache>
                <c:ptCount val="1"/>
                <c:pt idx="0">
                  <c:v>Donlon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Graphs'!$G$99:$G$112</c:f>
              <c:numCache>
                <c:formatCode>m/d/yyyy</c:formatCode>
                <c:ptCount val="14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Graphs'!$I$99:$I$112</c:f>
              <c:numCache>
                <c:formatCode>General</c:formatCode>
                <c:ptCount val="14"/>
                <c:pt idx="0">
                  <c:v>136.5</c:v>
                </c:pt>
                <c:pt idx="1">
                  <c:v>174.3</c:v>
                </c:pt>
                <c:pt idx="2">
                  <c:v>115.5</c:v>
                </c:pt>
                <c:pt idx="3">
                  <c:v>381.5</c:v>
                </c:pt>
                <c:pt idx="4">
                  <c:v>136.5</c:v>
                </c:pt>
                <c:pt idx="5">
                  <c:v>214.9</c:v>
                </c:pt>
                <c:pt idx="6">
                  <c:v>321.3</c:v>
                </c:pt>
                <c:pt idx="7">
                  <c:v>388.5</c:v>
                </c:pt>
                <c:pt idx="8">
                  <c:v>378</c:v>
                </c:pt>
                <c:pt idx="9">
                  <c:v>121.1</c:v>
                </c:pt>
                <c:pt idx="10">
                  <c:v>84</c:v>
                </c:pt>
                <c:pt idx="11">
                  <c:v>98.7</c:v>
                </c:pt>
                <c:pt idx="12">
                  <c:v>50.4</c:v>
                </c:pt>
                <c:pt idx="13">
                  <c:v>28</c:v>
                </c:pt>
              </c:numCache>
            </c:numRef>
          </c:val>
        </c:ser>
        <c:ser>
          <c:idx val="2"/>
          <c:order val="2"/>
          <c:tx>
            <c:strRef>
              <c:f>'Data for Graphs'!$J$98</c:f>
              <c:strCache>
                <c:ptCount val="1"/>
                <c:pt idx="0">
                  <c:v>Donlon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Graphs'!$G$99:$G$112</c:f>
              <c:numCache>
                <c:formatCode>m/d/yyyy</c:formatCode>
                <c:ptCount val="14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Graphs'!$J$99:$J$112</c:f>
              <c:numCache>
                <c:formatCode>General</c:formatCode>
                <c:ptCount val="14"/>
                <c:pt idx="0">
                  <c:v>167.3</c:v>
                </c:pt>
                <c:pt idx="1">
                  <c:v>84.35</c:v>
                </c:pt>
                <c:pt idx="2">
                  <c:v>98</c:v>
                </c:pt>
                <c:pt idx="3">
                  <c:v>278.60000000000002</c:v>
                </c:pt>
                <c:pt idx="4">
                  <c:v>126</c:v>
                </c:pt>
                <c:pt idx="5">
                  <c:v>168</c:v>
                </c:pt>
                <c:pt idx="6">
                  <c:v>275.10000000000002</c:v>
                </c:pt>
                <c:pt idx="7">
                  <c:v>160.30000000000001</c:v>
                </c:pt>
                <c:pt idx="8">
                  <c:v>217</c:v>
                </c:pt>
                <c:pt idx="9">
                  <c:v>78.75</c:v>
                </c:pt>
                <c:pt idx="10">
                  <c:v>66.150000000000006</c:v>
                </c:pt>
                <c:pt idx="11">
                  <c:v>74.2</c:v>
                </c:pt>
                <c:pt idx="12">
                  <c:v>9.8000000000000007</c:v>
                </c:pt>
                <c:pt idx="13">
                  <c:v>29.75</c:v>
                </c:pt>
              </c:numCache>
            </c:numRef>
          </c:val>
        </c:ser>
        <c:ser>
          <c:idx val="3"/>
          <c:order val="3"/>
          <c:tx>
            <c:strRef>
              <c:f>'Data for Graphs'!$K$98</c:f>
              <c:strCache>
                <c:ptCount val="1"/>
                <c:pt idx="0">
                  <c:v>Donlon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Graphs'!$G$99:$G$112</c:f>
              <c:numCache>
                <c:formatCode>m/d/yyyy</c:formatCode>
                <c:ptCount val="14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40497</c:v>
                </c:pt>
                <c:pt idx="10">
                  <c:v>40510</c:v>
                </c:pt>
                <c:pt idx="11">
                  <c:v>40516</c:v>
                </c:pt>
                <c:pt idx="12">
                  <c:v>40555</c:v>
                </c:pt>
                <c:pt idx="13">
                  <c:v>40677</c:v>
                </c:pt>
              </c:numCache>
            </c:numRef>
          </c:cat>
          <c:val>
            <c:numRef>
              <c:f>'Data for Graphs'!$K$99:$K$112</c:f>
              <c:numCache>
                <c:formatCode>General</c:formatCode>
                <c:ptCount val="14"/>
                <c:pt idx="0">
                  <c:v>88.2</c:v>
                </c:pt>
                <c:pt idx="1">
                  <c:v>74.55</c:v>
                </c:pt>
                <c:pt idx="2">
                  <c:v>48.3</c:v>
                </c:pt>
                <c:pt idx="3">
                  <c:v>129.5</c:v>
                </c:pt>
                <c:pt idx="4">
                  <c:v>116.9</c:v>
                </c:pt>
                <c:pt idx="5">
                  <c:v>100.1</c:v>
                </c:pt>
                <c:pt idx="6">
                  <c:v>212.1</c:v>
                </c:pt>
                <c:pt idx="7">
                  <c:v>242.55</c:v>
                </c:pt>
                <c:pt idx="8">
                  <c:v>87.5</c:v>
                </c:pt>
                <c:pt idx="9">
                  <c:v>186.9</c:v>
                </c:pt>
                <c:pt idx="11">
                  <c:v>56</c:v>
                </c:pt>
              </c:numCache>
            </c:numRef>
          </c:val>
        </c:ser>
        <c:marker val="1"/>
        <c:axId val="70641920"/>
        <c:axId val="70533504"/>
      </c:lineChart>
      <c:dateAx>
        <c:axId val="70641920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533504"/>
        <c:crosses val="autoZero"/>
        <c:auto val="1"/>
        <c:lblOffset val="100"/>
        <c:majorUnit val="20"/>
        <c:majorTimeUnit val="days"/>
      </c:dateAx>
      <c:valAx>
        <c:axId val="7053350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641920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830963494839515E-2"/>
          <c:y val="8.8591555548014941E-2"/>
          <c:w val="0.93324642728116203"/>
          <c:h val="0.71238398163759231"/>
        </c:manualLayout>
      </c:layout>
      <c:lineChart>
        <c:grouping val="standard"/>
        <c:ser>
          <c:idx val="0"/>
          <c:order val="0"/>
          <c:tx>
            <c:strRef>
              <c:f>'Data for Graphs'!$B$114</c:f>
              <c:strCache>
                <c:ptCount val="1"/>
                <c:pt idx="0">
                  <c:v>Donlon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Graphs'!$A$115:$A$123</c:f>
              <c:numCache>
                <c:formatCode>m/d/yyyy</c:formatCode>
                <c:ptCount val="9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Graphs'!$B$115:$B$123</c:f>
              <c:numCache>
                <c:formatCode>General</c:formatCode>
                <c:ptCount val="9"/>
                <c:pt idx="0">
                  <c:v>3.6</c:v>
                </c:pt>
                <c:pt idx="1">
                  <c:v>3.51</c:v>
                </c:pt>
                <c:pt idx="2">
                  <c:v>3.4</c:v>
                </c:pt>
                <c:pt idx="3">
                  <c:v>3.62</c:v>
                </c:pt>
                <c:pt idx="4">
                  <c:v>3.94</c:v>
                </c:pt>
                <c:pt idx="5">
                  <c:v>4.1900000000000004</c:v>
                </c:pt>
                <c:pt idx="6">
                  <c:v>5.21</c:v>
                </c:pt>
                <c:pt idx="7">
                  <c:v>4.54</c:v>
                </c:pt>
                <c:pt idx="8">
                  <c:v>5.22</c:v>
                </c:pt>
              </c:numCache>
            </c:numRef>
          </c:val>
        </c:ser>
        <c:ser>
          <c:idx val="1"/>
          <c:order val="1"/>
          <c:tx>
            <c:strRef>
              <c:f>'Data for Graphs'!$C$114</c:f>
              <c:strCache>
                <c:ptCount val="1"/>
                <c:pt idx="0">
                  <c:v>Donlon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Graphs'!$A$115:$A$123</c:f>
              <c:numCache>
                <c:formatCode>m/d/yyyy</c:formatCode>
                <c:ptCount val="9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Graphs'!$C$115:$C$123</c:f>
              <c:numCache>
                <c:formatCode>General</c:formatCode>
                <c:ptCount val="9"/>
                <c:pt idx="0">
                  <c:v>3.62</c:v>
                </c:pt>
                <c:pt idx="1">
                  <c:v>3.58</c:v>
                </c:pt>
                <c:pt idx="2">
                  <c:v>3.88</c:v>
                </c:pt>
                <c:pt idx="3">
                  <c:v>4.3499999999999996</c:v>
                </c:pt>
                <c:pt idx="4">
                  <c:v>3.42</c:v>
                </c:pt>
                <c:pt idx="5">
                  <c:v>4.1500000000000004</c:v>
                </c:pt>
                <c:pt idx="6">
                  <c:v>4.0999999999999996</c:v>
                </c:pt>
                <c:pt idx="7">
                  <c:v>4.0199999999999996</c:v>
                </c:pt>
                <c:pt idx="8">
                  <c:v>5.28</c:v>
                </c:pt>
              </c:numCache>
            </c:numRef>
          </c:val>
        </c:ser>
        <c:ser>
          <c:idx val="2"/>
          <c:order val="2"/>
          <c:tx>
            <c:strRef>
              <c:f>'Data for Graphs'!$D$114</c:f>
              <c:strCache>
                <c:ptCount val="1"/>
                <c:pt idx="0">
                  <c:v>Donlon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Graphs'!$A$115:$A$123</c:f>
              <c:numCache>
                <c:formatCode>m/d/yyyy</c:formatCode>
                <c:ptCount val="9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Graphs'!$D$115:$D$123</c:f>
              <c:numCache>
                <c:formatCode>General</c:formatCode>
                <c:ptCount val="9"/>
                <c:pt idx="0">
                  <c:v>3.44</c:v>
                </c:pt>
                <c:pt idx="1">
                  <c:v>3.98</c:v>
                </c:pt>
                <c:pt idx="2">
                  <c:v>4.05</c:v>
                </c:pt>
                <c:pt idx="3">
                  <c:v>3.67</c:v>
                </c:pt>
                <c:pt idx="4">
                  <c:v>3.24</c:v>
                </c:pt>
                <c:pt idx="5">
                  <c:v>3.33</c:v>
                </c:pt>
                <c:pt idx="6">
                  <c:v>4.17</c:v>
                </c:pt>
                <c:pt idx="7">
                  <c:v>3.69</c:v>
                </c:pt>
                <c:pt idx="8">
                  <c:v>4.62</c:v>
                </c:pt>
              </c:numCache>
            </c:numRef>
          </c:val>
        </c:ser>
        <c:ser>
          <c:idx val="3"/>
          <c:order val="3"/>
          <c:tx>
            <c:strRef>
              <c:f>'Data for Graphs'!$E$114</c:f>
              <c:strCache>
                <c:ptCount val="1"/>
                <c:pt idx="0">
                  <c:v>Donlon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Graphs'!$A$115:$A$123</c:f>
              <c:numCache>
                <c:formatCode>m/d/yyyy</c:formatCode>
                <c:ptCount val="9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Graphs'!$E$115:$E$123</c:f>
              <c:numCache>
                <c:formatCode>General</c:formatCode>
                <c:ptCount val="9"/>
                <c:pt idx="0">
                  <c:v>3.58</c:v>
                </c:pt>
                <c:pt idx="1">
                  <c:v>3.23</c:v>
                </c:pt>
                <c:pt idx="2">
                  <c:v>3.57</c:v>
                </c:pt>
                <c:pt idx="3">
                  <c:v>3.8</c:v>
                </c:pt>
                <c:pt idx="4">
                  <c:v>3.46</c:v>
                </c:pt>
                <c:pt idx="5">
                  <c:v>3.65</c:v>
                </c:pt>
                <c:pt idx="6">
                  <c:v>3.68</c:v>
                </c:pt>
                <c:pt idx="7">
                  <c:v>3.59</c:v>
                </c:pt>
                <c:pt idx="8">
                  <c:v>3.9</c:v>
                </c:pt>
              </c:numCache>
            </c:numRef>
          </c:val>
        </c:ser>
        <c:marker val="1"/>
        <c:axId val="70559616"/>
        <c:axId val="70651904"/>
      </c:lineChart>
      <c:dateAx>
        <c:axId val="70559616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651904"/>
        <c:crosses val="autoZero"/>
        <c:auto val="1"/>
        <c:lblOffset val="100"/>
        <c:majorUnit val="15"/>
        <c:majorTimeUnit val="days"/>
      </c:dateAx>
      <c:valAx>
        <c:axId val="70651904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559616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7117190690077577E-2"/>
          <c:y val="8.8816148390617244E-2"/>
          <c:w val="0.92491629236423034"/>
          <c:h val="0.70947261706853215"/>
        </c:manualLayout>
      </c:layout>
      <c:lineChart>
        <c:grouping val="standard"/>
        <c:ser>
          <c:idx val="0"/>
          <c:order val="0"/>
          <c:tx>
            <c:strRef>
              <c:f>'Data for Graphs'!$H$114</c:f>
              <c:strCache>
                <c:ptCount val="1"/>
                <c:pt idx="0">
                  <c:v>Donlon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Graphs'!$G$115:$G$123</c:f>
              <c:numCache>
                <c:formatCode>m/d/yyyy</c:formatCode>
                <c:ptCount val="9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Graphs'!$H$115:$H$123</c:f>
              <c:numCache>
                <c:formatCode>General</c:formatCode>
                <c:ptCount val="9"/>
                <c:pt idx="0">
                  <c:v>136.5</c:v>
                </c:pt>
                <c:pt idx="1">
                  <c:v>178.5</c:v>
                </c:pt>
                <c:pt idx="2">
                  <c:v>50.4</c:v>
                </c:pt>
                <c:pt idx="3">
                  <c:v>109.9</c:v>
                </c:pt>
                <c:pt idx="4">
                  <c:v>149.80000000000001</c:v>
                </c:pt>
                <c:pt idx="5">
                  <c:v>204.75</c:v>
                </c:pt>
                <c:pt idx="6">
                  <c:v>546</c:v>
                </c:pt>
                <c:pt idx="7">
                  <c:v>129.85</c:v>
                </c:pt>
                <c:pt idx="8">
                  <c:v>364</c:v>
                </c:pt>
              </c:numCache>
            </c:numRef>
          </c:val>
        </c:ser>
        <c:ser>
          <c:idx val="1"/>
          <c:order val="1"/>
          <c:tx>
            <c:strRef>
              <c:f>'Data for Graphs'!$I$114</c:f>
              <c:strCache>
                <c:ptCount val="1"/>
                <c:pt idx="0">
                  <c:v>Donlon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Graphs'!$G$115:$G$123</c:f>
              <c:numCache>
                <c:formatCode>m/d/yyyy</c:formatCode>
                <c:ptCount val="9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Graphs'!$I$115:$I$123</c:f>
              <c:numCache>
                <c:formatCode>General</c:formatCode>
                <c:ptCount val="9"/>
                <c:pt idx="0">
                  <c:v>126</c:v>
                </c:pt>
                <c:pt idx="1">
                  <c:v>162.4</c:v>
                </c:pt>
                <c:pt idx="2">
                  <c:v>52.5</c:v>
                </c:pt>
                <c:pt idx="3">
                  <c:v>199.5</c:v>
                </c:pt>
                <c:pt idx="4">
                  <c:v>84</c:v>
                </c:pt>
                <c:pt idx="5">
                  <c:v>110.25</c:v>
                </c:pt>
                <c:pt idx="6">
                  <c:v>331.1</c:v>
                </c:pt>
                <c:pt idx="7">
                  <c:v>197.05</c:v>
                </c:pt>
                <c:pt idx="8">
                  <c:v>232.75</c:v>
                </c:pt>
              </c:numCache>
            </c:numRef>
          </c:val>
        </c:ser>
        <c:ser>
          <c:idx val="2"/>
          <c:order val="2"/>
          <c:tx>
            <c:strRef>
              <c:f>'Data for Graphs'!$J$114</c:f>
              <c:strCache>
                <c:ptCount val="1"/>
                <c:pt idx="0">
                  <c:v>Donlon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Graphs'!$G$115:$G$123</c:f>
              <c:numCache>
                <c:formatCode>m/d/yyyy</c:formatCode>
                <c:ptCount val="9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Graphs'!$J$115:$J$123</c:f>
              <c:numCache>
                <c:formatCode>General</c:formatCode>
                <c:ptCount val="9"/>
                <c:pt idx="0">
                  <c:v>84</c:v>
                </c:pt>
                <c:pt idx="1">
                  <c:v>205.8</c:v>
                </c:pt>
                <c:pt idx="2">
                  <c:v>206.5</c:v>
                </c:pt>
                <c:pt idx="3">
                  <c:v>105</c:v>
                </c:pt>
                <c:pt idx="4">
                  <c:v>77</c:v>
                </c:pt>
                <c:pt idx="5">
                  <c:v>35</c:v>
                </c:pt>
                <c:pt idx="6">
                  <c:v>151.19999999999999</c:v>
                </c:pt>
                <c:pt idx="7">
                  <c:v>177.1</c:v>
                </c:pt>
                <c:pt idx="8">
                  <c:v>150.5</c:v>
                </c:pt>
              </c:numCache>
            </c:numRef>
          </c:val>
        </c:ser>
        <c:ser>
          <c:idx val="3"/>
          <c:order val="3"/>
          <c:tx>
            <c:strRef>
              <c:f>'Data for Graphs'!$K$114</c:f>
              <c:strCache>
                <c:ptCount val="1"/>
                <c:pt idx="0">
                  <c:v>Donlon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Graphs'!$G$115:$G$123</c:f>
              <c:numCache>
                <c:formatCode>m/d/yyyy</c:formatCode>
                <c:ptCount val="9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</c:numCache>
            </c:numRef>
          </c:cat>
          <c:val>
            <c:numRef>
              <c:f>'Data for Graphs'!$K$115:$K$123</c:f>
              <c:numCache>
                <c:formatCode>General</c:formatCode>
                <c:ptCount val="9"/>
                <c:pt idx="0">
                  <c:v>102.2</c:v>
                </c:pt>
                <c:pt idx="1">
                  <c:v>175.7</c:v>
                </c:pt>
                <c:pt idx="2">
                  <c:v>192.5</c:v>
                </c:pt>
                <c:pt idx="3">
                  <c:v>183.4</c:v>
                </c:pt>
                <c:pt idx="4">
                  <c:v>77</c:v>
                </c:pt>
                <c:pt idx="5">
                  <c:v>109.2</c:v>
                </c:pt>
                <c:pt idx="6">
                  <c:v>101.5</c:v>
                </c:pt>
                <c:pt idx="7">
                  <c:v>118.3</c:v>
                </c:pt>
                <c:pt idx="8">
                  <c:v>152.6</c:v>
                </c:pt>
              </c:numCache>
            </c:numRef>
          </c:val>
        </c:ser>
        <c:marker val="1"/>
        <c:axId val="70686208"/>
        <c:axId val="70688128"/>
      </c:lineChart>
      <c:dateAx>
        <c:axId val="70686208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688128"/>
        <c:crosses val="autoZero"/>
        <c:auto val="1"/>
        <c:lblOffset val="100"/>
        <c:majorUnit val="15"/>
        <c:majorTimeUnit val="days"/>
      </c:dateAx>
      <c:valAx>
        <c:axId val="70688128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686208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830957230142594E-2"/>
          <c:y val="8.8478260869565187E-2"/>
          <c:w val="0.9332464358452135"/>
          <c:h val="0.71275179732968552"/>
        </c:manualLayout>
      </c:layout>
      <c:lineChart>
        <c:grouping val="standard"/>
        <c:ser>
          <c:idx val="0"/>
          <c:order val="0"/>
          <c:tx>
            <c:strRef>
              <c:f>'Data for Graphs'!$B$129</c:f>
              <c:strCache>
                <c:ptCount val="1"/>
                <c:pt idx="0">
                  <c:v>Donlon Block C,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Graphs'!$A$130:$A$139</c:f>
              <c:numCache>
                <c:formatCode>m/d/yyyy</c:formatCode>
                <c:ptCount val="10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Graphs'!$B$130:$B$139</c:f>
              <c:numCache>
                <c:formatCode>General</c:formatCode>
                <c:ptCount val="10"/>
                <c:pt idx="0">
                  <c:v>3.79</c:v>
                </c:pt>
                <c:pt idx="1">
                  <c:v>4.4400000000000004</c:v>
                </c:pt>
                <c:pt idx="2">
                  <c:v>3.23</c:v>
                </c:pt>
                <c:pt idx="3">
                  <c:v>3.94</c:v>
                </c:pt>
                <c:pt idx="4">
                  <c:v>4.92</c:v>
                </c:pt>
                <c:pt idx="5">
                  <c:v>4.92</c:v>
                </c:pt>
                <c:pt idx="6">
                  <c:v>3.67</c:v>
                </c:pt>
                <c:pt idx="7">
                  <c:v>4.01</c:v>
                </c:pt>
                <c:pt idx="8">
                  <c:v>4.33</c:v>
                </c:pt>
              </c:numCache>
            </c:numRef>
          </c:val>
        </c:ser>
        <c:ser>
          <c:idx val="1"/>
          <c:order val="1"/>
          <c:tx>
            <c:strRef>
              <c:f>'Data for Graphs'!$C$129</c:f>
              <c:strCache>
                <c:ptCount val="1"/>
                <c:pt idx="0">
                  <c:v>Donlon Block C,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Graphs'!$A$130:$A$139</c:f>
              <c:numCache>
                <c:formatCode>m/d/yyyy</c:formatCode>
                <c:ptCount val="10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Graphs'!$C$130:$C$139</c:f>
              <c:numCache>
                <c:formatCode>General</c:formatCode>
                <c:ptCount val="10"/>
                <c:pt idx="0">
                  <c:v>4.05</c:v>
                </c:pt>
                <c:pt idx="1">
                  <c:v>3.78</c:v>
                </c:pt>
                <c:pt idx="2">
                  <c:v>3.81</c:v>
                </c:pt>
                <c:pt idx="3">
                  <c:v>4.03</c:v>
                </c:pt>
                <c:pt idx="4">
                  <c:v>3.25</c:v>
                </c:pt>
                <c:pt idx="5">
                  <c:v>7.46</c:v>
                </c:pt>
                <c:pt idx="6">
                  <c:v>2.11</c:v>
                </c:pt>
                <c:pt idx="7">
                  <c:v>4.16</c:v>
                </c:pt>
                <c:pt idx="8">
                  <c:v>4.3499999999999996</c:v>
                </c:pt>
              </c:numCache>
            </c:numRef>
          </c:val>
        </c:ser>
        <c:ser>
          <c:idx val="2"/>
          <c:order val="2"/>
          <c:tx>
            <c:strRef>
              <c:f>'Data for Graphs'!$D$129</c:f>
              <c:strCache>
                <c:ptCount val="1"/>
                <c:pt idx="0">
                  <c:v>Donlon Block C,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Graphs'!$A$130:$A$139</c:f>
              <c:numCache>
                <c:formatCode>m/d/yyyy</c:formatCode>
                <c:ptCount val="10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Graphs'!$D$130:$D$139</c:f>
              <c:numCache>
                <c:formatCode>General</c:formatCode>
                <c:ptCount val="10"/>
                <c:pt idx="0">
                  <c:v>3.7</c:v>
                </c:pt>
                <c:pt idx="1">
                  <c:v>3.24</c:v>
                </c:pt>
                <c:pt idx="2">
                  <c:v>4.12</c:v>
                </c:pt>
                <c:pt idx="3">
                  <c:v>4.53</c:v>
                </c:pt>
                <c:pt idx="4">
                  <c:v>3.62</c:v>
                </c:pt>
                <c:pt idx="5">
                  <c:v>3.72</c:v>
                </c:pt>
                <c:pt idx="6">
                  <c:v>3.35</c:v>
                </c:pt>
                <c:pt idx="7">
                  <c:v>4.08</c:v>
                </c:pt>
                <c:pt idx="8">
                  <c:v>3.74</c:v>
                </c:pt>
              </c:numCache>
            </c:numRef>
          </c:val>
        </c:ser>
        <c:ser>
          <c:idx val="3"/>
          <c:order val="3"/>
          <c:tx>
            <c:strRef>
              <c:f>'Data for Graphs'!$E$129</c:f>
              <c:strCache>
                <c:ptCount val="1"/>
                <c:pt idx="0">
                  <c:v>Donlon Block C,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Graphs'!$A$130:$A$139</c:f>
              <c:numCache>
                <c:formatCode>m/d/yyyy</c:formatCode>
                <c:ptCount val="10"/>
                <c:pt idx="0">
                  <c:v>40375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Graphs'!$E$130:$E$139</c:f>
              <c:numCache>
                <c:formatCode>General</c:formatCode>
                <c:ptCount val="10"/>
                <c:pt idx="0">
                  <c:v>3.63</c:v>
                </c:pt>
                <c:pt idx="1">
                  <c:v>2.5099999999999998</c:v>
                </c:pt>
                <c:pt idx="2">
                  <c:v>4.01</c:v>
                </c:pt>
                <c:pt idx="3">
                  <c:v>3.83</c:v>
                </c:pt>
                <c:pt idx="4">
                  <c:v>3.3</c:v>
                </c:pt>
                <c:pt idx="5">
                  <c:v>3.91</c:v>
                </c:pt>
                <c:pt idx="6">
                  <c:v>3.49</c:v>
                </c:pt>
                <c:pt idx="7">
                  <c:v>3.49</c:v>
                </c:pt>
                <c:pt idx="8">
                  <c:v>3.01</c:v>
                </c:pt>
              </c:numCache>
            </c:numRef>
          </c:val>
        </c:ser>
        <c:marker val="1"/>
        <c:axId val="70739072"/>
        <c:axId val="70740992"/>
      </c:lineChart>
      <c:dateAx>
        <c:axId val="70739072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740992"/>
        <c:crosses val="autoZero"/>
        <c:auto val="1"/>
        <c:lblOffset val="100"/>
        <c:majorUnit val="15"/>
        <c:majorTimeUnit val="days"/>
      </c:dateAx>
      <c:valAx>
        <c:axId val="70740992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739072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7027369141205334E-2"/>
          <c:y val="8.7560509226132524E-2"/>
          <c:w val="0.92503436776032921"/>
          <c:h val="0.71573131464255768"/>
        </c:manualLayout>
      </c:layout>
      <c:lineChart>
        <c:grouping val="standard"/>
        <c:ser>
          <c:idx val="0"/>
          <c:order val="0"/>
          <c:tx>
            <c:strRef>
              <c:f>'Data for Graphs'!$H$129</c:f>
              <c:strCache>
                <c:ptCount val="1"/>
                <c:pt idx="0">
                  <c:v>Donlon Block C,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Graphs'!$G$130:$G$139</c:f>
              <c:numCache>
                <c:formatCode>m/d/yyyy</c:formatCode>
                <c:ptCount val="10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Graphs'!$H$130:$H$139</c:f>
              <c:numCache>
                <c:formatCode>General</c:formatCode>
                <c:ptCount val="10"/>
                <c:pt idx="0">
                  <c:v>187.6</c:v>
                </c:pt>
                <c:pt idx="1">
                  <c:v>360.5</c:v>
                </c:pt>
                <c:pt idx="2">
                  <c:v>56.7</c:v>
                </c:pt>
                <c:pt idx="3">
                  <c:v>178.5</c:v>
                </c:pt>
                <c:pt idx="4">
                  <c:v>350</c:v>
                </c:pt>
                <c:pt idx="5">
                  <c:v>225.75</c:v>
                </c:pt>
                <c:pt idx="6">
                  <c:v>179.9</c:v>
                </c:pt>
                <c:pt idx="7">
                  <c:v>153.30000000000001</c:v>
                </c:pt>
                <c:pt idx="8">
                  <c:v>222.25</c:v>
                </c:pt>
              </c:numCache>
            </c:numRef>
          </c:val>
        </c:ser>
        <c:ser>
          <c:idx val="1"/>
          <c:order val="1"/>
          <c:tx>
            <c:strRef>
              <c:f>'Data for Graphs'!$I$129</c:f>
              <c:strCache>
                <c:ptCount val="1"/>
                <c:pt idx="0">
                  <c:v>Donlon Block C,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Graphs'!$G$130:$G$139</c:f>
              <c:numCache>
                <c:formatCode>m/d/yyyy</c:formatCode>
                <c:ptCount val="10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Graphs'!$I$130:$I$139</c:f>
              <c:numCache>
                <c:formatCode>General</c:formatCode>
                <c:ptCount val="10"/>
                <c:pt idx="0">
                  <c:v>207.9</c:v>
                </c:pt>
                <c:pt idx="1">
                  <c:v>228.9</c:v>
                </c:pt>
                <c:pt idx="2">
                  <c:v>91.7</c:v>
                </c:pt>
                <c:pt idx="3">
                  <c:v>193.2</c:v>
                </c:pt>
                <c:pt idx="4">
                  <c:v>92.4</c:v>
                </c:pt>
                <c:pt idx="5">
                  <c:v>119</c:v>
                </c:pt>
                <c:pt idx="6">
                  <c:v>191.8</c:v>
                </c:pt>
                <c:pt idx="7">
                  <c:v>183.75</c:v>
                </c:pt>
                <c:pt idx="8">
                  <c:v>245</c:v>
                </c:pt>
              </c:numCache>
            </c:numRef>
          </c:val>
        </c:ser>
        <c:ser>
          <c:idx val="2"/>
          <c:order val="2"/>
          <c:tx>
            <c:strRef>
              <c:f>'Data for Graphs'!$J$129</c:f>
              <c:strCache>
                <c:ptCount val="1"/>
                <c:pt idx="0">
                  <c:v>Donlon Block C,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Graphs'!$G$130:$G$139</c:f>
              <c:numCache>
                <c:formatCode>m/d/yyyy</c:formatCode>
                <c:ptCount val="10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Graphs'!$J$130:$J$139</c:f>
              <c:numCache>
                <c:formatCode>General</c:formatCode>
                <c:ptCount val="10"/>
                <c:pt idx="0">
                  <c:v>156.1</c:v>
                </c:pt>
                <c:pt idx="1">
                  <c:v>201.6</c:v>
                </c:pt>
                <c:pt idx="2">
                  <c:v>212.8</c:v>
                </c:pt>
                <c:pt idx="3">
                  <c:v>108.5</c:v>
                </c:pt>
                <c:pt idx="4">
                  <c:v>110.6</c:v>
                </c:pt>
                <c:pt idx="5">
                  <c:v>77</c:v>
                </c:pt>
                <c:pt idx="6">
                  <c:v>186.9</c:v>
                </c:pt>
                <c:pt idx="7">
                  <c:v>155.4</c:v>
                </c:pt>
                <c:pt idx="8">
                  <c:v>167.3</c:v>
                </c:pt>
              </c:numCache>
            </c:numRef>
          </c:val>
        </c:ser>
        <c:ser>
          <c:idx val="3"/>
          <c:order val="3"/>
          <c:tx>
            <c:strRef>
              <c:f>'Data for Graphs'!$K$129</c:f>
              <c:strCache>
                <c:ptCount val="1"/>
                <c:pt idx="0">
                  <c:v>Donlon Block C,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Graphs'!$G$130:$G$139</c:f>
              <c:numCache>
                <c:formatCode>m/d/yyyy</c:formatCode>
                <c:ptCount val="10"/>
                <c:pt idx="0">
                  <c:v>40375</c:v>
                </c:pt>
                <c:pt idx="1">
                  <c:v>40379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</c:numCache>
            </c:numRef>
          </c:cat>
          <c:val>
            <c:numRef>
              <c:f>'Data for Graphs'!$K$130:$K$139</c:f>
              <c:numCache>
                <c:formatCode>General</c:formatCode>
                <c:ptCount val="10"/>
                <c:pt idx="0">
                  <c:v>95.9</c:v>
                </c:pt>
                <c:pt idx="1">
                  <c:v>105</c:v>
                </c:pt>
                <c:pt idx="2">
                  <c:v>200.9</c:v>
                </c:pt>
                <c:pt idx="3">
                  <c:v>130.9</c:v>
                </c:pt>
                <c:pt idx="4">
                  <c:v>109.9</c:v>
                </c:pt>
                <c:pt idx="5">
                  <c:v>95.2</c:v>
                </c:pt>
                <c:pt idx="6">
                  <c:v>116.9</c:v>
                </c:pt>
                <c:pt idx="7">
                  <c:v>74.55</c:v>
                </c:pt>
                <c:pt idx="8">
                  <c:v>127.4</c:v>
                </c:pt>
              </c:numCache>
            </c:numRef>
          </c:val>
        </c:ser>
        <c:marker val="1"/>
        <c:axId val="70853376"/>
        <c:axId val="70855296"/>
      </c:lineChart>
      <c:dateAx>
        <c:axId val="70853376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855296"/>
        <c:crosses val="autoZero"/>
        <c:auto val="1"/>
        <c:lblOffset val="100"/>
        <c:majorUnit val="15"/>
        <c:majorTimeUnit val="days"/>
      </c:dateAx>
      <c:valAx>
        <c:axId val="70855296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853376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5.9276160994034384E-2"/>
          <c:y val="9.1069437340671647E-2"/>
          <c:w val="0.90608455638595597"/>
          <c:h val="0.70603999909087634"/>
        </c:manualLayout>
      </c:layout>
      <c:lineChart>
        <c:grouping val="standard"/>
        <c:ser>
          <c:idx val="0"/>
          <c:order val="0"/>
          <c:tx>
            <c:strRef>
              <c:f>'Data for Graphs'!$B$161</c:f>
              <c:strCache>
                <c:ptCount val="1"/>
                <c:pt idx="0">
                  <c:v>Manzanita Block A4,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Graphs'!$A$162:$A$175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Graphs'!$B$162:$B$175</c:f>
              <c:numCache>
                <c:formatCode>General</c:formatCode>
                <c:ptCount val="14"/>
                <c:pt idx="0">
                  <c:v>4.09</c:v>
                </c:pt>
                <c:pt idx="1">
                  <c:v>4.07</c:v>
                </c:pt>
                <c:pt idx="2">
                  <c:v>3.78</c:v>
                </c:pt>
                <c:pt idx="3">
                  <c:v>1.94</c:v>
                </c:pt>
                <c:pt idx="4">
                  <c:v>4.43</c:v>
                </c:pt>
                <c:pt idx="5">
                  <c:v>5.81</c:v>
                </c:pt>
                <c:pt idx="6">
                  <c:v>3.98</c:v>
                </c:pt>
                <c:pt idx="7">
                  <c:v>2.92</c:v>
                </c:pt>
                <c:pt idx="8">
                  <c:v>3.52</c:v>
                </c:pt>
                <c:pt idx="9">
                  <c:v>4.0999999999999996</c:v>
                </c:pt>
                <c:pt idx="10">
                  <c:v>7.25</c:v>
                </c:pt>
                <c:pt idx="11">
                  <c:v>6.51</c:v>
                </c:pt>
                <c:pt idx="12">
                  <c:v>0.94</c:v>
                </c:pt>
                <c:pt idx="13">
                  <c:v>3.94</c:v>
                </c:pt>
              </c:numCache>
            </c:numRef>
          </c:val>
        </c:ser>
        <c:ser>
          <c:idx val="1"/>
          <c:order val="1"/>
          <c:tx>
            <c:strRef>
              <c:f>'Data for Graphs'!$C$161</c:f>
              <c:strCache>
                <c:ptCount val="1"/>
                <c:pt idx="0">
                  <c:v>Manzanita Block A4,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Graphs'!$A$162:$A$175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Graphs'!$C$162:$C$175</c:f>
              <c:numCache>
                <c:formatCode>General</c:formatCode>
                <c:ptCount val="14"/>
                <c:pt idx="0">
                  <c:v>3.71</c:v>
                </c:pt>
                <c:pt idx="1">
                  <c:v>4.26</c:v>
                </c:pt>
                <c:pt idx="2">
                  <c:v>4.13</c:v>
                </c:pt>
                <c:pt idx="3">
                  <c:v>1.66</c:v>
                </c:pt>
                <c:pt idx="4">
                  <c:v>1.92</c:v>
                </c:pt>
                <c:pt idx="5">
                  <c:v>2.2400000000000002</c:v>
                </c:pt>
                <c:pt idx="6">
                  <c:v>4.09</c:v>
                </c:pt>
                <c:pt idx="7">
                  <c:v>2.36</c:v>
                </c:pt>
                <c:pt idx="8">
                  <c:v>4.3099999999999996</c:v>
                </c:pt>
                <c:pt idx="9">
                  <c:v>2.5499999999999998</c:v>
                </c:pt>
                <c:pt idx="10">
                  <c:v>3.67</c:v>
                </c:pt>
                <c:pt idx="11">
                  <c:v>3.56</c:v>
                </c:pt>
                <c:pt idx="12">
                  <c:v>0.93</c:v>
                </c:pt>
                <c:pt idx="13">
                  <c:v>2.0099999999999998</c:v>
                </c:pt>
              </c:numCache>
            </c:numRef>
          </c:val>
        </c:ser>
        <c:ser>
          <c:idx val="2"/>
          <c:order val="2"/>
          <c:tx>
            <c:strRef>
              <c:f>'Data for Graphs'!$D$161</c:f>
              <c:strCache>
                <c:ptCount val="1"/>
                <c:pt idx="0">
                  <c:v>Manzanita Block A4,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Graphs'!$A$162:$A$175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Graphs'!$D$162:$D$175</c:f>
              <c:numCache>
                <c:formatCode>General</c:formatCode>
                <c:ptCount val="14"/>
                <c:pt idx="0">
                  <c:v>2.91</c:v>
                </c:pt>
                <c:pt idx="1">
                  <c:v>2.0099999999999998</c:v>
                </c:pt>
                <c:pt idx="2">
                  <c:v>1.86</c:v>
                </c:pt>
                <c:pt idx="3">
                  <c:v>1.64</c:v>
                </c:pt>
                <c:pt idx="4">
                  <c:v>3.52</c:v>
                </c:pt>
                <c:pt idx="5">
                  <c:v>3</c:v>
                </c:pt>
                <c:pt idx="6">
                  <c:v>1.87</c:v>
                </c:pt>
                <c:pt idx="7">
                  <c:v>1.33</c:v>
                </c:pt>
                <c:pt idx="8">
                  <c:v>3.28</c:v>
                </c:pt>
                <c:pt idx="9">
                  <c:v>1.03</c:v>
                </c:pt>
                <c:pt idx="10">
                  <c:v>2.84</c:v>
                </c:pt>
                <c:pt idx="11">
                  <c:v>2.91</c:v>
                </c:pt>
                <c:pt idx="12">
                  <c:v>0.83</c:v>
                </c:pt>
                <c:pt idx="13">
                  <c:v>1.85</c:v>
                </c:pt>
              </c:numCache>
            </c:numRef>
          </c:val>
        </c:ser>
        <c:ser>
          <c:idx val="3"/>
          <c:order val="3"/>
          <c:tx>
            <c:strRef>
              <c:f>'Data for Graphs'!$E$161</c:f>
              <c:strCache>
                <c:ptCount val="1"/>
                <c:pt idx="0">
                  <c:v>Manzanita Block A4,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Graphs'!$A$162:$A$175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Graphs'!$E$162:$E$175</c:f>
              <c:numCache>
                <c:formatCode>General</c:formatCode>
                <c:ptCount val="14"/>
                <c:pt idx="1">
                  <c:v>1.84</c:v>
                </c:pt>
                <c:pt idx="2">
                  <c:v>1.56</c:v>
                </c:pt>
                <c:pt idx="3">
                  <c:v>1.5</c:v>
                </c:pt>
                <c:pt idx="4">
                  <c:v>2.29</c:v>
                </c:pt>
                <c:pt idx="5">
                  <c:v>1.43</c:v>
                </c:pt>
                <c:pt idx="6">
                  <c:v>1.57</c:v>
                </c:pt>
                <c:pt idx="7">
                  <c:v>1.1499999999999999</c:v>
                </c:pt>
                <c:pt idx="8">
                  <c:v>2.17</c:v>
                </c:pt>
                <c:pt idx="10">
                  <c:v>2.44</c:v>
                </c:pt>
                <c:pt idx="11">
                  <c:v>2.2000000000000002</c:v>
                </c:pt>
              </c:numCache>
            </c:numRef>
          </c:val>
        </c:ser>
        <c:marker val="1"/>
        <c:axId val="70804224"/>
        <c:axId val="70806144"/>
      </c:lineChart>
      <c:dateAx>
        <c:axId val="7080422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806144"/>
        <c:crosses val="autoZero"/>
        <c:auto val="1"/>
        <c:lblOffset val="100"/>
        <c:majorUnit val="20"/>
        <c:majorTimeUnit val="days"/>
      </c:dateAx>
      <c:valAx>
        <c:axId val="70806144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804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759921389726268E-3"/>
          <c:y val="0.92536178734231656"/>
          <c:w val="0.98364775902706436"/>
          <c:h val="6.1212742779449297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9276160994034384E-2"/>
          <c:y val="9.0889972298155833E-2"/>
          <c:w val="0.91257423205291699"/>
          <c:h val="0.69768661290884448"/>
        </c:manualLayout>
      </c:layout>
      <c:lineChart>
        <c:grouping val="standard"/>
        <c:ser>
          <c:idx val="0"/>
          <c:order val="0"/>
          <c:tx>
            <c:strRef>
              <c:f>'Data for Graphs'!$H$161</c:f>
              <c:strCache>
                <c:ptCount val="1"/>
                <c:pt idx="0">
                  <c:v>Manzanita Block A4,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Graphs'!$G$162:$G$175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Graphs'!$H$162:$H$175</c:f>
              <c:numCache>
                <c:formatCode>General</c:formatCode>
                <c:ptCount val="14"/>
                <c:pt idx="0">
                  <c:v>161</c:v>
                </c:pt>
                <c:pt idx="1">
                  <c:v>176.4</c:v>
                </c:pt>
                <c:pt idx="2">
                  <c:v>138.6</c:v>
                </c:pt>
                <c:pt idx="3">
                  <c:v>55.3</c:v>
                </c:pt>
                <c:pt idx="4">
                  <c:v>176.4</c:v>
                </c:pt>
                <c:pt idx="5">
                  <c:v>324.8</c:v>
                </c:pt>
                <c:pt idx="6">
                  <c:v>235.9</c:v>
                </c:pt>
                <c:pt idx="7">
                  <c:v>181.3</c:v>
                </c:pt>
                <c:pt idx="8">
                  <c:v>211.4</c:v>
                </c:pt>
                <c:pt idx="9">
                  <c:v>198.8</c:v>
                </c:pt>
                <c:pt idx="10">
                  <c:v>281.75</c:v>
                </c:pt>
                <c:pt idx="11">
                  <c:v>360.5</c:v>
                </c:pt>
                <c:pt idx="12">
                  <c:v>31.15</c:v>
                </c:pt>
                <c:pt idx="13">
                  <c:v>212.1</c:v>
                </c:pt>
              </c:numCache>
            </c:numRef>
          </c:val>
        </c:ser>
        <c:ser>
          <c:idx val="1"/>
          <c:order val="1"/>
          <c:tx>
            <c:strRef>
              <c:f>'Data for Graphs'!$I$161</c:f>
              <c:strCache>
                <c:ptCount val="1"/>
                <c:pt idx="0">
                  <c:v>Manzanita Block A4,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Graphs'!$G$162:$G$175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Graphs'!$I$162:$I$175</c:f>
              <c:numCache>
                <c:formatCode>General</c:formatCode>
                <c:ptCount val="14"/>
                <c:pt idx="0">
                  <c:v>217</c:v>
                </c:pt>
                <c:pt idx="1">
                  <c:v>154.69999999999999</c:v>
                </c:pt>
                <c:pt idx="2">
                  <c:v>256.89999999999998</c:v>
                </c:pt>
                <c:pt idx="3">
                  <c:v>72.8</c:v>
                </c:pt>
                <c:pt idx="4">
                  <c:v>103.6</c:v>
                </c:pt>
                <c:pt idx="5">
                  <c:v>82.95</c:v>
                </c:pt>
                <c:pt idx="6">
                  <c:v>367.5</c:v>
                </c:pt>
                <c:pt idx="7">
                  <c:v>90.65</c:v>
                </c:pt>
                <c:pt idx="8">
                  <c:v>289.8</c:v>
                </c:pt>
                <c:pt idx="9">
                  <c:v>61.6</c:v>
                </c:pt>
                <c:pt idx="10">
                  <c:v>108.85</c:v>
                </c:pt>
                <c:pt idx="11">
                  <c:v>4.9000000000000004</c:v>
                </c:pt>
                <c:pt idx="12">
                  <c:v>27.65</c:v>
                </c:pt>
                <c:pt idx="13">
                  <c:v>98.35</c:v>
                </c:pt>
              </c:numCache>
            </c:numRef>
          </c:val>
        </c:ser>
        <c:ser>
          <c:idx val="2"/>
          <c:order val="2"/>
          <c:tx>
            <c:strRef>
              <c:f>'Data for Graphs'!$J$161</c:f>
              <c:strCache>
                <c:ptCount val="1"/>
                <c:pt idx="0">
                  <c:v>Manzanita Block A4,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Graphs'!$G$162:$G$175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Graphs'!$J$162:$J$175</c:f>
              <c:numCache>
                <c:formatCode>General</c:formatCode>
                <c:ptCount val="14"/>
                <c:pt idx="0">
                  <c:v>123.9</c:v>
                </c:pt>
                <c:pt idx="1">
                  <c:v>79.099999999999994</c:v>
                </c:pt>
                <c:pt idx="2">
                  <c:v>145.25</c:v>
                </c:pt>
                <c:pt idx="3">
                  <c:v>75.95</c:v>
                </c:pt>
                <c:pt idx="4">
                  <c:v>186.9</c:v>
                </c:pt>
                <c:pt idx="5">
                  <c:v>206.5</c:v>
                </c:pt>
                <c:pt idx="6">
                  <c:v>97.3</c:v>
                </c:pt>
                <c:pt idx="7">
                  <c:v>53.2</c:v>
                </c:pt>
                <c:pt idx="8">
                  <c:v>226.8</c:v>
                </c:pt>
                <c:pt idx="9">
                  <c:v>43.05</c:v>
                </c:pt>
                <c:pt idx="10">
                  <c:v>74.2</c:v>
                </c:pt>
                <c:pt idx="11">
                  <c:v>3.85</c:v>
                </c:pt>
                <c:pt idx="12">
                  <c:v>31.85</c:v>
                </c:pt>
                <c:pt idx="13">
                  <c:v>61.95</c:v>
                </c:pt>
              </c:numCache>
            </c:numRef>
          </c:val>
        </c:ser>
        <c:ser>
          <c:idx val="3"/>
          <c:order val="3"/>
          <c:tx>
            <c:strRef>
              <c:f>'Data for Graphs'!$K$161</c:f>
              <c:strCache>
                <c:ptCount val="1"/>
                <c:pt idx="0">
                  <c:v>Manzanita Block A4,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Graphs'!$G$162:$G$175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Graphs'!$K$162:$K$175</c:f>
              <c:numCache>
                <c:formatCode>General</c:formatCode>
                <c:ptCount val="14"/>
                <c:pt idx="1">
                  <c:v>65.45</c:v>
                </c:pt>
                <c:pt idx="2">
                  <c:v>92.75</c:v>
                </c:pt>
                <c:pt idx="3">
                  <c:v>77</c:v>
                </c:pt>
                <c:pt idx="4">
                  <c:v>91.35</c:v>
                </c:pt>
                <c:pt idx="5">
                  <c:v>67.55</c:v>
                </c:pt>
                <c:pt idx="6">
                  <c:v>84</c:v>
                </c:pt>
                <c:pt idx="7">
                  <c:v>33.6</c:v>
                </c:pt>
                <c:pt idx="8">
                  <c:v>127.75</c:v>
                </c:pt>
                <c:pt idx="10">
                  <c:v>63.35</c:v>
                </c:pt>
                <c:pt idx="11">
                  <c:v>94.5</c:v>
                </c:pt>
              </c:numCache>
            </c:numRef>
          </c:val>
        </c:ser>
        <c:marker val="1"/>
        <c:axId val="71008256"/>
        <c:axId val="71010176"/>
      </c:lineChart>
      <c:dateAx>
        <c:axId val="71008256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010176"/>
        <c:crosses val="autoZero"/>
        <c:auto val="1"/>
        <c:lblOffset val="100"/>
        <c:majorUnit val="20"/>
        <c:majorTimeUnit val="days"/>
      </c:dateAx>
      <c:valAx>
        <c:axId val="71010176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008256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4.9159657609953904E-3"/>
          <c:y val="0.91880936580466099"/>
          <c:w val="0.98364775902706436"/>
          <c:h val="6.7791621080129733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5.6031323160553786E-2"/>
          <c:y val="9.1069437340671647E-2"/>
          <c:w val="0.91095181313618134"/>
          <c:h val="0.68366421596048765"/>
        </c:manualLayout>
      </c:layout>
      <c:lineChart>
        <c:grouping val="standard"/>
        <c:ser>
          <c:idx val="0"/>
          <c:order val="0"/>
          <c:tx>
            <c:strRef>
              <c:f>'Data for Graphs'!$B$191</c:f>
              <c:strCache>
                <c:ptCount val="1"/>
                <c:pt idx="0">
                  <c:v>Manzanita Block B4,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Graphs'!$A$192:$A$204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Graphs'!$B$192:$B$204</c:f>
              <c:numCache>
                <c:formatCode>General</c:formatCode>
                <c:ptCount val="13"/>
                <c:pt idx="0">
                  <c:v>3.65</c:v>
                </c:pt>
                <c:pt idx="1">
                  <c:v>5.96</c:v>
                </c:pt>
                <c:pt idx="2">
                  <c:v>3.78</c:v>
                </c:pt>
                <c:pt idx="3">
                  <c:v>4.34</c:v>
                </c:pt>
                <c:pt idx="4">
                  <c:v>3.92</c:v>
                </c:pt>
                <c:pt idx="5">
                  <c:v>4.71</c:v>
                </c:pt>
                <c:pt idx="6">
                  <c:v>4.57</c:v>
                </c:pt>
                <c:pt idx="7">
                  <c:v>4.21</c:v>
                </c:pt>
                <c:pt idx="8">
                  <c:v>4.97</c:v>
                </c:pt>
                <c:pt idx="9">
                  <c:v>5.82</c:v>
                </c:pt>
                <c:pt idx="10">
                  <c:v>5.47</c:v>
                </c:pt>
                <c:pt idx="11">
                  <c:v>5.6</c:v>
                </c:pt>
                <c:pt idx="12">
                  <c:v>3.05</c:v>
                </c:pt>
              </c:numCache>
            </c:numRef>
          </c:val>
        </c:ser>
        <c:ser>
          <c:idx val="1"/>
          <c:order val="1"/>
          <c:tx>
            <c:strRef>
              <c:f>'Data for Graphs'!$C$191</c:f>
              <c:strCache>
                <c:ptCount val="1"/>
                <c:pt idx="0">
                  <c:v>Manzanita Block B4,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Graphs'!$A$192:$A$204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Graphs'!$C$192:$C$204</c:f>
              <c:numCache>
                <c:formatCode>General</c:formatCode>
                <c:ptCount val="13"/>
                <c:pt idx="0">
                  <c:v>3.64</c:v>
                </c:pt>
                <c:pt idx="1">
                  <c:v>4.0999999999999996</c:v>
                </c:pt>
                <c:pt idx="2">
                  <c:v>4.13</c:v>
                </c:pt>
                <c:pt idx="3">
                  <c:v>2.85</c:v>
                </c:pt>
                <c:pt idx="4">
                  <c:v>3.92</c:v>
                </c:pt>
                <c:pt idx="5">
                  <c:v>3.17</c:v>
                </c:pt>
                <c:pt idx="6">
                  <c:v>3.77</c:v>
                </c:pt>
                <c:pt idx="7">
                  <c:v>4.16</c:v>
                </c:pt>
                <c:pt idx="8">
                  <c:v>2.11</c:v>
                </c:pt>
                <c:pt idx="9">
                  <c:v>9.17</c:v>
                </c:pt>
                <c:pt idx="10">
                  <c:v>4.54</c:v>
                </c:pt>
                <c:pt idx="11">
                  <c:v>1.07</c:v>
                </c:pt>
                <c:pt idx="12">
                  <c:v>4.75</c:v>
                </c:pt>
              </c:numCache>
            </c:numRef>
          </c:val>
        </c:ser>
        <c:ser>
          <c:idx val="2"/>
          <c:order val="2"/>
          <c:tx>
            <c:strRef>
              <c:f>'Data for Graphs'!$D$191</c:f>
              <c:strCache>
                <c:ptCount val="1"/>
                <c:pt idx="0">
                  <c:v>Manzanita Block B4,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Graphs'!$A$192:$A$204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Graphs'!$D$192:$D$204</c:f>
              <c:numCache>
                <c:formatCode>General</c:formatCode>
                <c:ptCount val="13"/>
                <c:pt idx="0">
                  <c:v>4.0199999999999996</c:v>
                </c:pt>
                <c:pt idx="1">
                  <c:v>2.66</c:v>
                </c:pt>
                <c:pt idx="2">
                  <c:v>1.86</c:v>
                </c:pt>
                <c:pt idx="3">
                  <c:v>2.67</c:v>
                </c:pt>
                <c:pt idx="4">
                  <c:v>2.1800000000000002</c:v>
                </c:pt>
                <c:pt idx="5">
                  <c:v>2.13</c:v>
                </c:pt>
                <c:pt idx="6">
                  <c:v>2.86</c:v>
                </c:pt>
                <c:pt idx="7">
                  <c:v>3.44</c:v>
                </c:pt>
                <c:pt idx="8">
                  <c:v>3.42</c:v>
                </c:pt>
                <c:pt idx="9">
                  <c:v>4.1500000000000004</c:v>
                </c:pt>
                <c:pt idx="10">
                  <c:v>2.11</c:v>
                </c:pt>
                <c:pt idx="11">
                  <c:v>1.18</c:v>
                </c:pt>
                <c:pt idx="12">
                  <c:v>1.64</c:v>
                </c:pt>
              </c:numCache>
            </c:numRef>
          </c:val>
        </c:ser>
        <c:ser>
          <c:idx val="3"/>
          <c:order val="3"/>
          <c:tx>
            <c:strRef>
              <c:f>'Data for Graphs'!$E$191</c:f>
              <c:strCache>
                <c:ptCount val="1"/>
                <c:pt idx="0">
                  <c:v>Manzanita Block B4,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Graphs'!$A$192:$A$204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Graphs'!$E$192:$E$204</c:f>
              <c:numCache>
                <c:formatCode>General</c:formatCode>
                <c:ptCount val="13"/>
                <c:pt idx="1">
                  <c:v>1.65</c:v>
                </c:pt>
                <c:pt idx="2">
                  <c:v>1.56</c:v>
                </c:pt>
                <c:pt idx="3">
                  <c:v>2.56</c:v>
                </c:pt>
                <c:pt idx="4">
                  <c:v>2.64</c:v>
                </c:pt>
                <c:pt idx="5">
                  <c:v>1.74</c:v>
                </c:pt>
                <c:pt idx="6">
                  <c:v>2.17</c:v>
                </c:pt>
                <c:pt idx="7">
                  <c:v>2.27</c:v>
                </c:pt>
                <c:pt idx="9">
                  <c:v>2.4</c:v>
                </c:pt>
                <c:pt idx="10">
                  <c:v>1.84</c:v>
                </c:pt>
              </c:numCache>
            </c:numRef>
          </c:val>
        </c:ser>
        <c:marker val="1"/>
        <c:axId val="70918528"/>
        <c:axId val="70920064"/>
      </c:lineChart>
      <c:dateAx>
        <c:axId val="70918528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920064"/>
        <c:crosses val="autoZero"/>
        <c:auto val="1"/>
        <c:lblOffset val="100"/>
        <c:majorUnit val="20"/>
        <c:majorTimeUnit val="days"/>
      </c:dateAx>
      <c:valAx>
        <c:axId val="70920064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918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52706874343182E-2"/>
          <c:y val="0.91417389577712549"/>
          <c:w val="0.95577453349536201"/>
          <c:h val="7.0163056031603804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198323891212494E-2"/>
          <c:y val="8.7693284386560974E-2"/>
          <c:w val="0.92612419361512832"/>
          <c:h val="0.71530025478878634"/>
        </c:manualLayout>
      </c:layout>
      <c:lineChart>
        <c:grouping val="standard"/>
        <c:ser>
          <c:idx val="0"/>
          <c:order val="0"/>
          <c:tx>
            <c:strRef>
              <c:f>'Data for Graphs'!$H$3</c:f>
              <c:strCache>
                <c:ptCount val="1"/>
                <c:pt idx="0">
                  <c:v>Eclipse Block C,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Graphs'!$G$4:$G$14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Graphs'!$H$4:$H$14</c:f>
              <c:numCache>
                <c:formatCode>General</c:formatCode>
                <c:ptCount val="11"/>
                <c:pt idx="0">
                  <c:v>87.5</c:v>
                </c:pt>
                <c:pt idx="1">
                  <c:v>150.5</c:v>
                </c:pt>
                <c:pt idx="2">
                  <c:v>158.19999999999999</c:v>
                </c:pt>
                <c:pt idx="3">
                  <c:v>237.3</c:v>
                </c:pt>
                <c:pt idx="4">
                  <c:v>231</c:v>
                </c:pt>
                <c:pt idx="5">
                  <c:v>168.7</c:v>
                </c:pt>
                <c:pt idx="6">
                  <c:v>406</c:v>
                </c:pt>
                <c:pt idx="7">
                  <c:v>570.5</c:v>
                </c:pt>
                <c:pt idx="8">
                  <c:v>602</c:v>
                </c:pt>
                <c:pt idx="9">
                  <c:v>302.75</c:v>
                </c:pt>
                <c:pt idx="10">
                  <c:v>329.7</c:v>
                </c:pt>
              </c:numCache>
            </c:numRef>
          </c:val>
        </c:ser>
        <c:ser>
          <c:idx val="1"/>
          <c:order val="1"/>
          <c:tx>
            <c:strRef>
              <c:f>'Data for Graphs'!$I$3</c:f>
              <c:strCache>
                <c:ptCount val="1"/>
                <c:pt idx="0">
                  <c:v>Eclipse Block C,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Graphs'!$G$4:$G$14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Graphs'!$I$4:$I$14</c:f>
              <c:numCache>
                <c:formatCode>General</c:formatCode>
                <c:ptCount val="11"/>
                <c:pt idx="0">
                  <c:v>88.9</c:v>
                </c:pt>
                <c:pt idx="1">
                  <c:v>176.4</c:v>
                </c:pt>
                <c:pt idx="2">
                  <c:v>65.099999999999994</c:v>
                </c:pt>
                <c:pt idx="3">
                  <c:v>142.80000000000001</c:v>
                </c:pt>
                <c:pt idx="4">
                  <c:v>218.05</c:v>
                </c:pt>
                <c:pt idx="5">
                  <c:v>143.85</c:v>
                </c:pt>
                <c:pt idx="6">
                  <c:v>305.89999999999998</c:v>
                </c:pt>
                <c:pt idx="7">
                  <c:v>309.75</c:v>
                </c:pt>
                <c:pt idx="8">
                  <c:v>326.2</c:v>
                </c:pt>
                <c:pt idx="9">
                  <c:v>220.5</c:v>
                </c:pt>
                <c:pt idx="10">
                  <c:v>269.85000000000002</c:v>
                </c:pt>
              </c:numCache>
            </c:numRef>
          </c:val>
        </c:ser>
        <c:ser>
          <c:idx val="2"/>
          <c:order val="2"/>
          <c:tx>
            <c:strRef>
              <c:f>'Data for Graphs'!$J$3</c:f>
              <c:strCache>
                <c:ptCount val="1"/>
                <c:pt idx="0">
                  <c:v>Eclipse Block C,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Graphs'!$G$4:$G$14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Graphs'!$J$4:$J$14</c:f>
              <c:numCache>
                <c:formatCode>General</c:formatCode>
                <c:ptCount val="11"/>
                <c:pt idx="0">
                  <c:v>66.5</c:v>
                </c:pt>
                <c:pt idx="1">
                  <c:v>180.6</c:v>
                </c:pt>
                <c:pt idx="2">
                  <c:v>86.8</c:v>
                </c:pt>
                <c:pt idx="3">
                  <c:v>68.599999999999994</c:v>
                </c:pt>
                <c:pt idx="4">
                  <c:v>178.5</c:v>
                </c:pt>
                <c:pt idx="5">
                  <c:v>112</c:v>
                </c:pt>
                <c:pt idx="6">
                  <c:v>230.3</c:v>
                </c:pt>
                <c:pt idx="7">
                  <c:v>295.75</c:v>
                </c:pt>
                <c:pt idx="8">
                  <c:v>253.05</c:v>
                </c:pt>
                <c:pt idx="9">
                  <c:v>204.75</c:v>
                </c:pt>
                <c:pt idx="10">
                  <c:v>181.3</c:v>
                </c:pt>
              </c:numCache>
            </c:numRef>
          </c:val>
        </c:ser>
        <c:ser>
          <c:idx val="3"/>
          <c:order val="3"/>
          <c:tx>
            <c:strRef>
              <c:f>'Data for Graphs'!$K$3</c:f>
              <c:strCache>
                <c:ptCount val="1"/>
                <c:pt idx="0">
                  <c:v>Eclipse Block C,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Graphs'!$G$4:$G$14</c:f>
              <c:numCache>
                <c:formatCode>m/d/yyyy</c:formatCode>
                <c:ptCount val="11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</c:numCache>
            </c:numRef>
          </c:cat>
          <c:val>
            <c:numRef>
              <c:f>'Data for Graphs'!$K$4:$K$14</c:f>
              <c:numCache>
                <c:formatCode>General</c:formatCode>
                <c:ptCount val="11"/>
                <c:pt idx="1">
                  <c:v>69.3</c:v>
                </c:pt>
                <c:pt idx="2">
                  <c:v>165.2</c:v>
                </c:pt>
                <c:pt idx="3">
                  <c:v>249.2</c:v>
                </c:pt>
                <c:pt idx="4">
                  <c:v>266</c:v>
                </c:pt>
                <c:pt idx="5">
                  <c:v>148.75</c:v>
                </c:pt>
                <c:pt idx="6">
                  <c:v>305.89999999999998</c:v>
                </c:pt>
                <c:pt idx="7">
                  <c:v>287</c:v>
                </c:pt>
                <c:pt idx="8">
                  <c:v>316.39999999999998</c:v>
                </c:pt>
                <c:pt idx="9">
                  <c:v>182</c:v>
                </c:pt>
                <c:pt idx="10">
                  <c:v>179.2</c:v>
                </c:pt>
              </c:numCache>
            </c:numRef>
          </c:val>
        </c:ser>
        <c:marker val="1"/>
        <c:axId val="69928064"/>
        <c:axId val="69929984"/>
      </c:lineChart>
      <c:dateAx>
        <c:axId val="6992806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929984"/>
        <c:crosses val="autoZero"/>
        <c:auto val="1"/>
        <c:lblOffset val="100"/>
        <c:majorUnit val="15"/>
        <c:majorTimeUnit val="days"/>
      </c:dateAx>
      <c:valAx>
        <c:axId val="6992998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928064"/>
        <c:crosses val="autoZero"/>
        <c:crossBetween val="between"/>
        <c:majorUnit val="75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6.2306920180806323E-2"/>
          <c:y val="9.0889972298155833E-2"/>
          <c:w val="0.90804430520508461"/>
          <c:h val="0.68652076864616851"/>
        </c:manualLayout>
      </c:layout>
      <c:lineChart>
        <c:grouping val="standard"/>
        <c:ser>
          <c:idx val="0"/>
          <c:order val="0"/>
          <c:tx>
            <c:strRef>
              <c:f>'Data for Graphs'!$H$191</c:f>
              <c:strCache>
                <c:ptCount val="1"/>
                <c:pt idx="0">
                  <c:v>Manzanita Block B4,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Graphs'!$G$192:$G$204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Graphs'!$H$192:$H$204</c:f>
              <c:numCache>
                <c:formatCode>General</c:formatCode>
                <c:ptCount val="13"/>
                <c:pt idx="0">
                  <c:v>70.7</c:v>
                </c:pt>
                <c:pt idx="1">
                  <c:v>500.5</c:v>
                </c:pt>
                <c:pt idx="2">
                  <c:v>138.6</c:v>
                </c:pt>
                <c:pt idx="3">
                  <c:v>266.7</c:v>
                </c:pt>
                <c:pt idx="4">
                  <c:v>112.7</c:v>
                </c:pt>
                <c:pt idx="5">
                  <c:v>437.5</c:v>
                </c:pt>
                <c:pt idx="6">
                  <c:v>274.75</c:v>
                </c:pt>
                <c:pt idx="7">
                  <c:v>293.3</c:v>
                </c:pt>
                <c:pt idx="8">
                  <c:v>186.9</c:v>
                </c:pt>
                <c:pt idx="9">
                  <c:v>385</c:v>
                </c:pt>
                <c:pt idx="10">
                  <c:v>3.85</c:v>
                </c:pt>
                <c:pt idx="11">
                  <c:v>127.4</c:v>
                </c:pt>
                <c:pt idx="12">
                  <c:v>103.95</c:v>
                </c:pt>
              </c:numCache>
            </c:numRef>
          </c:val>
        </c:ser>
        <c:ser>
          <c:idx val="1"/>
          <c:order val="1"/>
          <c:tx>
            <c:strRef>
              <c:f>'Data for Graphs'!$I$191</c:f>
              <c:strCache>
                <c:ptCount val="1"/>
                <c:pt idx="0">
                  <c:v>Manzanita Block B4,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Graphs'!$G$192:$G$204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Graphs'!$I$192:$I$204</c:f>
              <c:numCache>
                <c:formatCode>General</c:formatCode>
                <c:ptCount val="13"/>
                <c:pt idx="0">
                  <c:v>99.4</c:v>
                </c:pt>
                <c:pt idx="1">
                  <c:v>331.1</c:v>
                </c:pt>
                <c:pt idx="2">
                  <c:v>256.89999999999998</c:v>
                </c:pt>
                <c:pt idx="3">
                  <c:v>135.44999999999999</c:v>
                </c:pt>
                <c:pt idx="4">
                  <c:v>167.3</c:v>
                </c:pt>
                <c:pt idx="5">
                  <c:v>240.8</c:v>
                </c:pt>
                <c:pt idx="6">
                  <c:v>252</c:v>
                </c:pt>
                <c:pt idx="7">
                  <c:v>284.89999999999998</c:v>
                </c:pt>
                <c:pt idx="8">
                  <c:v>47.25</c:v>
                </c:pt>
                <c:pt idx="9">
                  <c:v>184.8</c:v>
                </c:pt>
                <c:pt idx="10">
                  <c:v>4.2</c:v>
                </c:pt>
                <c:pt idx="11">
                  <c:v>37.799999999999997</c:v>
                </c:pt>
                <c:pt idx="12">
                  <c:v>144.19999999999999</c:v>
                </c:pt>
              </c:numCache>
            </c:numRef>
          </c:val>
        </c:ser>
        <c:ser>
          <c:idx val="2"/>
          <c:order val="2"/>
          <c:tx>
            <c:strRef>
              <c:f>'Data for Graphs'!$J$191</c:f>
              <c:strCache>
                <c:ptCount val="1"/>
                <c:pt idx="0">
                  <c:v>Manzanita Block B4,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Graphs'!$G$192:$G$204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Graphs'!$J$192:$J$204</c:f>
              <c:numCache>
                <c:formatCode>General</c:formatCode>
                <c:ptCount val="13"/>
                <c:pt idx="0">
                  <c:v>147.69999999999999</c:v>
                </c:pt>
                <c:pt idx="1">
                  <c:v>179.2</c:v>
                </c:pt>
                <c:pt idx="2">
                  <c:v>145.25</c:v>
                </c:pt>
                <c:pt idx="3">
                  <c:v>142.1</c:v>
                </c:pt>
                <c:pt idx="4">
                  <c:v>91.35</c:v>
                </c:pt>
                <c:pt idx="5">
                  <c:v>115.85</c:v>
                </c:pt>
                <c:pt idx="6">
                  <c:v>190.05</c:v>
                </c:pt>
                <c:pt idx="7">
                  <c:v>202.65</c:v>
                </c:pt>
                <c:pt idx="8">
                  <c:v>154.69999999999999</c:v>
                </c:pt>
                <c:pt idx="9">
                  <c:v>234.5</c:v>
                </c:pt>
                <c:pt idx="10">
                  <c:v>3.85</c:v>
                </c:pt>
                <c:pt idx="11">
                  <c:v>42.35</c:v>
                </c:pt>
                <c:pt idx="12">
                  <c:v>51.45</c:v>
                </c:pt>
              </c:numCache>
            </c:numRef>
          </c:val>
        </c:ser>
        <c:ser>
          <c:idx val="3"/>
          <c:order val="3"/>
          <c:tx>
            <c:strRef>
              <c:f>'Data for Graphs'!$K$191</c:f>
              <c:strCache>
                <c:ptCount val="1"/>
                <c:pt idx="0">
                  <c:v>Manzanita Block B4,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Graphs'!$G$192:$G$204</c:f>
              <c:numCache>
                <c:formatCode>m/d/yyyy</c:formatCode>
                <c:ptCount val="13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  <c:pt idx="12">
                  <c:v>40679</c:v>
                </c:pt>
              </c:numCache>
            </c:numRef>
          </c:cat>
          <c:val>
            <c:numRef>
              <c:f>'Data for Graphs'!$K$192:$K$204</c:f>
              <c:numCache>
                <c:formatCode>General</c:formatCode>
                <c:ptCount val="13"/>
                <c:pt idx="1">
                  <c:v>82.25</c:v>
                </c:pt>
                <c:pt idx="2">
                  <c:v>92.75</c:v>
                </c:pt>
                <c:pt idx="3">
                  <c:v>136.15</c:v>
                </c:pt>
                <c:pt idx="4">
                  <c:v>95.2</c:v>
                </c:pt>
                <c:pt idx="5">
                  <c:v>75.95</c:v>
                </c:pt>
                <c:pt idx="6">
                  <c:v>85.75</c:v>
                </c:pt>
                <c:pt idx="7">
                  <c:v>118.65</c:v>
                </c:pt>
                <c:pt idx="9">
                  <c:v>93.45</c:v>
                </c:pt>
                <c:pt idx="10">
                  <c:v>82.25</c:v>
                </c:pt>
              </c:numCache>
            </c:numRef>
          </c:val>
        </c:ser>
        <c:marker val="1"/>
        <c:axId val="70966272"/>
        <c:axId val="70972544"/>
      </c:lineChart>
      <c:dateAx>
        <c:axId val="70966272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972544"/>
        <c:crosses val="autoZero"/>
        <c:auto val="1"/>
        <c:lblOffset val="100"/>
        <c:majorUnit val="20"/>
        <c:majorTimeUnit val="days"/>
      </c:dateAx>
      <c:valAx>
        <c:axId val="7097254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966272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0"/>
          <c:y val="0.91434302809959722"/>
          <c:w val="1"/>
          <c:h val="6.5558452227594724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623894934705973E-2"/>
          <c:y val="8.9094525967101629E-2"/>
          <c:w val="0.93352949698115162"/>
          <c:h val="0.71075106811218092"/>
        </c:manualLayout>
      </c:layout>
      <c:lineChart>
        <c:grouping val="standard"/>
        <c:ser>
          <c:idx val="0"/>
          <c:order val="0"/>
          <c:tx>
            <c:strRef>
              <c:f>'Data for Graphs'!$B$206</c:f>
              <c:strCache>
                <c:ptCount val="1"/>
                <c:pt idx="0">
                  <c:v>Manzanita Block 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Graphs'!$A$207:$A$220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Graphs'!$B$207:$B$220</c:f>
              <c:numCache>
                <c:formatCode>General</c:formatCode>
                <c:ptCount val="14"/>
                <c:pt idx="0">
                  <c:v>5.49</c:v>
                </c:pt>
                <c:pt idx="1">
                  <c:v>5.12</c:v>
                </c:pt>
                <c:pt idx="2">
                  <c:v>6.75</c:v>
                </c:pt>
                <c:pt idx="3">
                  <c:v>2.59</c:v>
                </c:pt>
                <c:pt idx="4">
                  <c:v>5.86</c:v>
                </c:pt>
                <c:pt idx="5">
                  <c:v>8.32</c:v>
                </c:pt>
                <c:pt idx="6">
                  <c:v>3.5</c:v>
                </c:pt>
                <c:pt idx="7">
                  <c:v>3.67</c:v>
                </c:pt>
                <c:pt idx="8">
                  <c:v>2.4900000000000002</c:v>
                </c:pt>
                <c:pt idx="9">
                  <c:v>2.5499999999999998</c:v>
                </c:pt>
                <c:pt idx="10">
                  <c:v>6.26</c:v>
                </c:pt>
                <c:pt idx="11">
                  <c:v>4.95</c:v>
                </c:pt>
                <c:pt idx="12">
                  <c:v>2.27</c:v>
                </c:pt>
                <c:pt idx="13">
                  <c:v>3.75</c:v>
                </c:pt>
              </c:numCache>
            </c:numRef>
          </c:val>
        </c:ser>
        <c:ser>
          <c:idx val="1"/>
          <c:order val="1"/>
          <c:tx>
            <c:strRef>
              <c:f>'Data for Graphs'!$C$206</c:f>
              <c:strCache>
                <c:ptCount val="1"/>
                <c:pt idx="0">
                  <c:v>Manzanita Block 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Graphs'!$A$207:$A$220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Graphs'!$C$207:$C$220</c:f>
              <c:numCache>
                <c:formatCode>General</c:formatCode>
                <c:ptCount val="14"/>
                <c:pt idx="0">
                  <c:v>4.58</c:v>
                </c:pt>
                <c:pt idx="1">
                  <c:v>4.8099999999999996</c:v>
                </c:pt>
                <c:pt idx="2">
                  <c:v>5.54</c:v>
                </c:pt>
                <c:pt idx="3">
                  <c:v>1.22</c:v>
                </c:pt>
                <c:pt idx="4">
                  <c:v>3.62</c:v>
                </c:pt>
                <c:pt idx="5">
                  <c:v>4.13</c:v>
                </c:pt>
                <c:pt idx="6">
                  <c:v>3.56</c:v>
                </c:pt>
                <c:pt idx="7">
                  <c:v>3.72</c:v>
                </c:pt>
                <c:pt idx="8">
                  <c:v>2.19</c:v>
                </c:pt>
                <c:pt idx="9">
                  <c:v>4.1399999999999997</c:v>
                </c:pt>
                <c:pt idx="10">
                  <c:v>6.37</c:v>
                </c:pt>
                <c:pt idx="11">
                  <c:v>7.09</c:v>
                </c:pt>
                <c:pt idx="12">
                  <c:v>1.28</c:v>
                </c:pt>
                <c:pt idx="13">
                  <c:v>1.69</c:v>
                </c:pt>
              </c:numCache>
            </c:numRef>
          </c:val>
        </c:ser>
        <c:ser>
          <c:idx val="2"/>
          <c:order val="2"/>
          <c:tx>
            <c:strRef>
              <c:f>'Data for Graphs'!$D$206</c:f>
              <c:strCache>
                <c:ptCount val="1"/>
                <c:pt idx="0">
                  <c:v>Manzanita Block 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Graphs'!$A$207:$A$220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Graphs'!$D$207:$D$220</c:f>
              <c:numCache>
                <c:formatCode>General</c:formatCode>
                <c:ptCount val="14"/>
                <c:pt idx="0">
                  <c:v>4.53</c:v>
                </c:pt>
                <c:pt idx="1">
                  <c:v>2.78</c:v>
                </c:pt>
                <c:pt idx="2">
                  <c:v>2.72</c:v>
                </c:pt>
                <c:pt idx="3">
                  <c:v>1.39</c:v>
                </c:pt>
                <c:pt idx="4">
                  <c:v>4.34</c:v>
                </c:pt>
                <c:pt idx="5">
                  <c:v>3.74</c:v>
                </c:pt>
                <c:pt idx="6">
                  <c:v>1.38</c:v>
                </c:pt>
                <c:pt idx="7">
                  <c:v>2.5099999999999998</c:v>
                </c:pt>
                <c:pt idx="8">
                  <c:v>2.5499999999999998</c:v>
                </c:pt>
                <c:pt idx="9">
                  <c:v>0.8</c:v>
                </c:pt>
                <c:pt idx="10">
                  <c:v>3.82</c:v>
                </c:pt>
                <c:pt idx="11">
                  <c:v>2.21</c:v>
                </c:pt>
                <c:pt idx="12">
                  <c:v>0.97</c:v>
                </c:pt>
                <c:pt idx="13">
                  <c:v>3.08</c:v>
                </c:pt>
              </c:numCache>
            </c:numRef>
          </c:val>
        </c:ser>
        <c:ser>
          <c:idx val="3"/>
          <c:order val="3"/>
          <c:tx>
            <c:strRef>
              <c:f>'Data for Graphs'!$E$206</c:f>
              <c:strCache>
                <c:ptCount val="1"/>
                <c:pt idx="0">
                  <c:v>Manzanita Block 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Graphs'!$A$207:$A$220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Graphs'!$E$207:$E$220</c:f>
              <c:numCache>
                <c:formatCode>General</c:formatCode>
                <c:ptCount val="14"/>
                <c:pt idx="1">
                  <c:v>2.0299999999999998</c:v>
                </c:pt>
                <c:pt idx="2">
                  <c:v>2.36</c:v>
                </c:pt>
                <c:pt idx="3">
                  <c:v>1.08</c:v>
                </c:pt>
                <c:pt idx="4">
                  <c:v>2.54</c:v>
                </c:pt>
                <c:pt idx="5">
                  <c:v>2.4500000000000002</c:v>
                </c:pt>
                <c:pt idx="6">
                  <c:v>1.46</c:v>
                </c:pt>
                <c:pt idx="7">
                  <c:v>1.8</c:v>
                </c:pt>
                <c:pt idx="8">
                  <c:v>2.46</c:v>
                </c:pt>
                <c:pt idx="10">
                  <c:v>1.92</c:v>
                </c:pt>
                <c:pt idx="11">
                  <c:v>1.72</c:v>
                </c:pt>
              </c:numCache>
            </c:numRef>
          </c:val>
        </c:ser>
        <c:marker val="1"/>
        <c:axId val="71093248"/>
        <c:axId val="71099520"/>
      </c:lineChart>
      <c:dateAx>
        <c:axId val="71093248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099520"/>
        <c:crosses val="autoZero"/>
        <c:auto val="1"/>
        <c:lblOffset val="100"/>
        <c:majorUnit val="20"/>
        <c:majorTimeUnit val="days"/>
      </c:dateAx>
      <c:valAx>
        <c:axId val="71099520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093248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35989518407304E-2"/>
          <c:y val="8.8421472549640195E-2"/>
          <c:w val="0.92541740239744952"/>
          <c:h val="0.71293616287519568"/>
        </c:manualLayout>
      </c:layout>
      <c:lineChart>
        <c:grouping val="standard"/>
        <c:ser>
          <c:idx val="0"/>
          <c:order val="0"/>
          <c:tx>
            <c:strRef>
              <c:f>'Data for Graphs'!$H$206</c:f>
              <c:strCache>
                <c:ptCount val="1"/>
                <c:pt idx="0">
                  <c:v>Manzanita Block 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Graphs'!$G$207:$G$220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Graphs'!$H$207:$H$220</c:f>
              <c:numCache>
                <c:formatCode>General</c:formatCode>
                <c:ptCount val="14"/>
                <c:pt idx="0">
                  <c:v>479.5</c:v>
                </c:pt>
                <c:pt idx="1">
                  <c:v>274.39999999999998</c:v>
                </c:pt>
                <c:pt idx="2">
                  <c:v>707</c:v>
                </c:pt>
                <c:pt idx="3">
                  <c:v>84.7</c:v>
                </c:pt>
                <c:pt idx="4">
                  <c:v>570.5</c:v>
                </c:pt>
                <c:pt idx="5">
                  <c:v>1487.5</c:v>
                </c:pt>
                <c:pt idx="6">
                  <c:v>242.9</c:v>
                </c:pt>
                <c:pt idx="7">
                  <c:v>275.8</c:v>
                </c:pt>
                <c:pt idx="8">
                  <c:v>81.2</c:v>
                </c:pt>
                <c:pt idx="9">
                  <c:v>63.35</c:v>
                </c:pt>
                <c:pt idx="10">
                  <c:v>371</c:v>
                </c:pt>
                <c:pt idx="11">
                  <c:v>172.9</c:v>
                </c:pt>
                <c:pt idx="12">
                  <c:v>51.8</c:v>
                </c:pt>
                <c:pt idx="13">
                  <c:v>74.900000000000006</c:v>
                </c:pt>
              </c:numCache>
            </c:numRef>
          </c:val>
        </c:ser>
        <c:ser>
          <c:idx val="1"/>
          <c:order val="1"/>
          <c:tx>
            <c:strRef>
              <c:f>'Data for Graphs'!$I$206</c:f>
              <c:strCache>
                <c:ptCount val="1"/>
                <c:pt idx="0">
                  <c:v>Manzanita Block 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Graphs'!$G$207:$G$220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Graphs'!$I$207:$I$220</c:f>
              <c:numCache>
                <c:formatCode>General</c:formatCode>
                <c:ptCount val="14"/>
                <c:pt idx="0">
                  <c:v>299.60000000000002</c:v>
                </c:pt>
                <c:pt idx="1">
                  <c:v>219.1</c:v>
                </c:pt>
                <c:pt idx="2">
                  <c:v>406</c:v>
                </c:pt>
                <c:pt idx="3">
                  <c:v>49</c:v>
                </c:pt>
                <c:pt idx="4">
                  <c:v>199.5</c:v>
                </c:pt>
                <c:pt idx="5">
                  <c:v>364</c:v>
                </c:pt>
                <c:pt idx="6">
                  <c:v>217.7</c:v>
                </c:pt>
                <c:pt idx="7">
                  <c:v>256.2</c:v>
                </c:pt>
                <c:pt idx="8">
                  <c:v>78.05</c:v>
                </c:pt>
                <c:pt idx="9">
                  <c:v>66.5</c:v>
                </c:pt>
                <c:pt idx="10">
                  <c:v>117.8</c:v>
                </c:pt>
                <c:pt idx="11">
                  <c:v>227.2</c:v>
                </c:pt>
                <c:pt idx="12">
                  <c:v>57.05</c:v>
                </c:pt>
                <c:pt idx="13">
                  <c:v>54.95</c:v>
                </c:pt>
              </c:numCache>
            </c:numRef>
          </c:val>
        </c:ser>
        <c:ser>
          <c:idx val="2"/>
          <c:order val="2"/>
          <c:tx>
            <c:strRef>
              <c:f>'Data for Graphs'!$J$206</c:f>
              <c:strCache>
                <c:ptCount val="1"/>
                <c:pt idx="0">
                  <c:v>Manzanita Block 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Graphs'!$G$207:$G$220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Graphs'!$J$207:$J$220</c:f>
              <c:numCache>
                <c:formatCode>General</c:formatCode>
                <c:ptCount val="14"/>
                <c:pt idx="0">
                  <c:v>364</c:v>
                </c:pt>
                <c:pt idx="1">
                  <c:v>153.30000000000001</c:v>
                </c:pt>
                <c:pt idx="2">
                  <c:v>135.80000000000001</c:v>
                </c:pt>
                <c:pt idx="3">
                  <c:v>60.9</c:v>
                </c:pt>
                <c:pt idx="4">
                  <c:v>246.4</c:v>
                </c:pt>
                <c:pt idx="5">
                  <c:v>253.4</c:v>
                </c:pt>
                <c:pt idx="6">
                  <c:v>56.35</c:v>
                </c:pt>
                <c:pt idx="7">
                  <c:v>112.35</c:v>
                </c:pt>
                <c:pt idx="8">
                  <c:v>88.2</c:v>
                </c:pt>
                <c:pt idx="9">
                  <c:v>20.3</c:v>
                </c:pt>
                <c:pt idx="10">
                  <c:v>98</c:v>
                </c:pt>
                <c:pt idx="11">
                  <c:v>67.55</c:v>
                </c:pt>
                <c:pt idx="12">
                  <c:v>32.9</c:v>
                </c:pt>
                <c:pt idx="13">
                  <c:v>81.55</c:v>
                </c:pt>
              </c:numCache>
            </c:numRef>
          </c:val>
        </c:ser>
        <c:ser>
          <c:idx val="3"/>
          <c:order val="3"/>
          <c:tx>
            <c:strRef>
              <c:f>'Data for Graphs'!$K$206</c:f>
              <c:strCache>
                <c:ptCount val="1"/>
                <c:pt idx="0">
                  <c:v>Manzanita Block 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Graphs'!$G$207:$G$220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40456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40639</c:v>
                </c:pt>
                <c:pt idx="13">
                  <c:v>40679</c:v>
                </c:pt>
              </c:numCache>
            </c:numRef>
          </c:cat>
          <c:val>
            <c:numRef>
              <c:f>'Data for Graphs'!$K$207:$K$220</c:f>
              <c:numCache>
                <c:formatCode>General</c:formatCode>
                <c:ptCount val="14"/>
                <c:pt idx="1">
                  <c:v>106.4</c:v>
                </c:pt>
                <c:pt idx="2">
                  <c:v>109.2</c:v>
                </c:pt>
                <c:pt idx="3">
                  <c:v>42.35</c:v>
                </c:pt>
                <c:pt idx="4">
                  <c:v>109.2</c:v>
                </c:pt>
                <c:pt idx="5">
                  <c:v>115.15</c:v>
                </c:pt>
                <c:pt idx="6">
                  <c:v>64.05</c:v>
                </c:pt>
                <c:pt idx="7">
                  <c:v>84</c:v>
                </c:pt>
                <c:pt idx="8">
                  <c:v>131.94999999999999</c:v>
                </c:pt>
                <c:pt idx="10">
                  <c:v>69.3</c:v>
                </c:pt>
                <c:pt idx="11">
                  <c:v>60.9</c:v>
                </c:pt>
              </c:numCache>
            </c:numRef>
          </c:val>
        </c:ser>
        <c:marker val="1"/>
        <c:axId val="71137920"/>
        <c:axId val="71148288"/>
      </c:lineChart>
      <c:dateAx>
        <c:axId val="71137920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148288"/>
        <c:crosses val="autoZero"/>
        <c:auto val="1"/>
        <c:lblOffset val="100"/>
        <c:majorUnit val="20"/>
        <c:majorTimeUnit val="days"/>
      </c:dateAx>
      <c:valAx>
        <c:axId val="71148288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137920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623894934705973E-2"/>
          <c:y val="8.5766287406083025E-2"/>
          <c:w val="0.93352949698115162"/>
          <c:h val="0.71944904755101979"/>
        </c:manualLayout>
      </c:layout>
      <c:lineChart>
        <c:grouping val="standard"/>
        <c:ser>
          <c:idx val="0"/>
          <c:order val="0"/>
          <c:tx>
            <c:strRef>
              <c:f>'Data for Graphs'!$B$222</c:f>
              <c:strCache>
                <c:ptCount val="1"/>
                <c:pt idx="0">
                  <c:v>Manzanita Block II,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Graphs'!$A$223:$A$234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Graphs'!$B$223:$B$234</c:f>
              <c:numCache>
                <c:formatCode>General</c:formatCode>
                <c:ptCount val="12"/>
                <c:pt idx="0">
                  <c:v>5.26</c:v>
                </c:pt>
                <c:pt idx="1">
                  <c:v>4.4400000000000004</c:v>
                </c:pt>
                <c:pt idx="2">
                  <c:v>5.42</c:v>
                </c:pt>
                <c:pt idx="3">
                  <c:v>5.07</c:v>
                </c:pt>
                <c:pt idx="4">
                  <c:v>4.71</c:v>
                </c:pt>
                <c:pt idx="5">
                  <c:v>7.07</c:v>
                </c:pt>
                <c:pt idx="6">
                  <c:v>3.88</c:v>
                </c:pt>
                <c:pt idx="7">
                  <c:v>4.3499999999999996</c:v>
                </c:pt>
                <c:pt idx="8">
                  <c:v>6.58</c:v>
                </c:pt>
                <c:pt idx="9">
                  <c:v>5.14</c:v>
                </c:pt>
                <c:pt idx="10">
                  <c:v>1.22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'Data for Graphs'!$C$222</c:f>
              <c:strCache>
                <c:ptCount val="1"/>
                <c:pt idx="0">
                  <c:v>Manzanita Block II,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Graphs'!$A$223:$A$234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Graphs'!$C$223:$C$234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4.4800000000000004</c:v>
                </c:pt>
                <c:pt idx="2">
                  <c:v>4.72</c:v>
                </c:pt>
                <c:pt idx="3">
                  <c:v>3.62</c:v>
                </c:pt>
                <c:pt idx="4">
                  <c:v>4.7</c:v>
                </c:pt>
                <c:pt idx="5">
                  <c:v>3.53</c:v>
                </c:pt>
                <c:pt idx="6">
                  <c:v>1.74</c:v>
                </c:pt>
                <c:pt idx="7">
                  <c:v>4.0999999999999996</c:v>
                </c:pt>
                <c:pt idx="8">
                  <c:v>7.39</c:v>
                </c:pt>
                <c:pt idx="9">
                  <c:v>3.65</c:v>
                </c:pt>
                <c:pt idx="10">
                  <c:v>1.25</c:v>
                </c:pt>
                <c:pt idx="11">
                  <c:v>3.05</c:v>
                </c:pt>
              </c:numCache>
            </c:numRef>
          </c:val>
        </c:ser>
        <c:ser>
          <c:idx val="2"/>
          <c:order val="2"/>
          <c:tx>
            <c:strRef>
              <c:f>'Data for Graphs'!$D$222</c:f>
              <c:strCache>
                <c:ptCount val="1"/>
                <c:pt idx="0">
                  <c:v>Manzanita Block II,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Graphs'!$A$223:$A$234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Graphs'!$D$223:$D$234</c:f>
              <c:numCache>
                <c:formatCode>General</c:formatCode>
                <c:ptCount val="12"/>
                <c:pt idx="0">
                  <c:v>3.81</c:v>
                </c:pt>
                <c:pt idx="1">
                  <c:v>3.28</c:v>
                </c:pt>
                <c:pt idx="2">
                  <c:v>3.08</c:v>
                </c:pt>
                <c:pt idx="3">
                  <c:v>2.62</c:v>
                </c:pt>
                <c:pt idx="4">
                  <c:v>4.22</c:v>
                </c:pt>
                <c:pt idx="5">
                  <c:v>3.81</c:v>
                </c:pt>
                <c:pt idx="6">
                  <c:v>1.84</c:v>
                </c:pt>
                <c:pt idx="7">
                  <c:v>3.48</c:v>
                </c:pt>
                <c:pt idx="8">
                  <c:v>4.6100000000000003</c:v>
                </c:pt>
                <c:pt idx="9">
                  <c:v>3.55</c:v>
                </c:pt>
                <c:pt idx="10">
                  <c:v>1.04</c:v>
                </c:pt>
                <c:pt idx="11">
                  <c:v>2.94</c:v>
                </c:pt>
              </c:numCache>
            </c:numRef>
          </c:val>
        </c:ser>
        <c:ser>
          <c:idx val="3"/>
          <c:order val="3"/>
          <c:tx>
            <c:strRef>
              <c:f>'Data for Graphs'!$E$222</c:f>
              <c:strCache>
                <c:ptCount val="1"/>
                <c:pt idx="0">
                  <c:v>Manzanita Block II,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Graphs'!$A$223:$A$234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Graphs'!$E$223:$E$234</c:f>
              <c:numCache>
                <c:formatCode>General</c:formatCode>
                <c:ptCount val="12"/>
                <c:pt idx="1">
                  <c:v>2.48</c:v>
                </c:pt>
                <c:pt idx="2">
                  <c:v>1.64</c:v>
                </c:pt>
                <c:pt idx="3">
                  <c:v>1.73</c:v>
                </c:pt>
                <c:pt idx="4">
                  <c:v>2.93</c:v>
                </c:pt>
                <c:pt idx="5">
                  <c:v>1.93</c:v>
                </c:pt>
                <c:pt idx="6">
                  <c:v>2.34</c:v>
                </c:pt>
                <c:pt idx="7">
                  <c:v>2.08</c:v>
                </c:pt>
                <c:pt idx="8">
                  <c:v>3.89</c:v>
                </c:pt>
                <c:pt idx="9">
                  <c:v>2.46</c:v>
                </c:pt>
              </c:numCache>
            </c:numRef>
          </c:val>
        </c:ser>
        <c:marker val="1"/>
        <c:axId val="71170304"/>
        <c:axId val="71184768"/>
      </c:lineChart>
      <c:dateAx>
        <c:axId val="7117030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184768"/>
        <c:crosses val="autoZero"/>
        <c:auto val="1"/>
        <c:lblOffset val="100"/>
        <c:majorUnit val="20"/>
        <c:majorTimeUnit val="days"/>
      </c:dateAx>
      <c:valAx>
        <c:axId val="7118476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170304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35989518407304E-2"/>
          <c:y val="8.8829366467151089E-2"/>
          <c:w val="0.92541740239744952"/>
          <c:h val="0.7137944587207008"/>
        </c:manualLayout>
      </c:layout>
      <c:lineChart>
        <c:grouping val="standard"/>
        <c:ser>
          <c:idx val="0"/>
          <c:order val="0"/>
          <c:tx>
            <c:strRef>
              <c:f>'Data for Graphs'!$H$222</c:f>
              <c:strCache>
                <c:ptCount val="1"/>
                <c:pt idx="0">
                  <c:v>Manzanita Block II,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Graphs'!$G$223:$G$234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Graphs'!$H$223:$H$234</c:f>
              <c:numCache>
                <c:formatCode>General</c:formatCode>
                <c:ptCount val="12"/>
                <c:pt idx="0">
                  <c:v>413</c:v>
                </c:pt>
                <c:pt idx="1">
                  <c:v>284.2</c:v>
                </c:pt>
                <c:pt idx="2">
                  <c:v>259.35000000000002</c:v>
                </c:pt>
                <c:pt idx="3">
                  <c:v>305.89999999999998</c:v>
                </c:pt>
                <c:pt idx="4">
                  <c:v>228.2</c:v>
                </c:pt>
                <c:pt idx="5">
                  <c:v>1274</c:v>
                </c:pt>
                <c:pt idx="6">
                  <c:v>271.60000000000002</c:v>
                </c:pt>
                <c:pt idx="7">
                  <c:v>293.3</c:v>
                </c:pt>
                <c:pt idx="8">
                  <c:v>462</c:v>
                </c:pt>
                <c:pt idx="9">
                  <c:v>3.85</c:v>
                </c:pt>
                <c:pt idx="10">
                  <c:v>28</c:v>
                </c:pt>
                <c:pt idx="11">
                  <c:v>378</c:v>
                </c:pt>
              </c:numCache>
            </c:numRef>
          </c:val>
        </c:ser>
        <c:ser>
          <c:idx val="1"/>
          <c:order val="1"/>
          <c:tx>
            <c:strRef>
              <c:f>'Data for Graphs'!$I$222</c:f>
              <c:strCache>
                <c:ptCount val="1"/>
                <c:pt idx="0">
                  <c:v>Manzanita Block II,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Graphs'!$G$223:$G$234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Graphs'!$I$223:$I$234</c:f>
              <c:numCache>
                <c:formatCode>General</c:formatCode>
                <c:ptCount val="12"/>
                <c:pt idx="0">
                  <c:v>248.5</c:v>
                </c:pt>
                <c:pt idx="1">
                  <c:v>347.2</c:v>
                </c:pt>
                <c:pt idx="2">
                  <c:v>287</c:v>
                </c:pt>
                <c:pt idx="3">
                  <c:v>202.3</c:v>
                </c:pt>
                <c:pt idx="4">
                  <c:v>328.3</c:v>
                </c:pt>
                <c:pt idx="5">
                  <c:v>465.5</c:v>
                </c:pt>
                <c:pt idx="6">
                  <c:v>83.65</c:v>
                </c:pt>
                <c:pt idx="7">
                  <c:v>267.39999999999998</c:v>
                </c:pt>
                <c:pt idx="8">
                  <c:v>133.35</c:v>
                </c:pt>
                <c:pt idx="9">
                  <c:v>4.2</c:v>
                </c:pt>
                <c:pt idx="10">
                  <c:v>36.4</c:v>
                </c:pt>
                <c:pt idx="11">
                  <c:v>171.15</c:v>
                </c:pt>
              </c:numCache>
            </c:numRef>
          </c:val>
        </c:ser>
        <c:ser>
          <c:idx val="2"/>
          <c:order val="2"/>
          <c:tx>
            <c:strRef>
              <c:f>'Data for Graphs'!$J$222</c:f>
              <c:strCache>
                <c:ptCount val="1"/>
                <c:pt idx="0">
                  <c:v>Manzanita Block II,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Graphs'!$G$223:$G$234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Graphs'!$J$223:$J$234</c:f>
              <c:numCache>
                <c:formatCode>General</c:formatCode>
                <c:ptCount val="12"/>
                <c:pt idx="0">
                  <c:v>245.7</c:v>
                </c:pt>
                <c:pt idx="1">
                  <c:v>224</c:v>
                </c:pt>
                <c:pt idx="2">
                  <c:v>183.4</c:v>
                </c:pt>
                <c:pt idx="3">
                  <c:v>146.30000000000001</c:v>
                </c:pt>
                <c:pt idx="4">
                  <c:v>287</c:v>
                </c:pt>
                <c:pt idx="5">
                  <c:v>307.3</c:v>
                </c:pt>
                <c:pt idx="6">
                  <c:v>79.099999999999994</c:v>
                </c:pt>
                <c:pt idx="7">
                  <c:v>214.9</c:v>
                </c:pt>
                <c:pt idx="8">
                  <c:v>314.3</c:v>
                </c:pt>
                <c:pt idx="9">
                  <c:v>111.65</c:v>
                </c:pt>
                <c:pt idx="10">
                  <c:v>33.950000000000003</c:v>
                </c:pt>
                <c:pt idx="11">
                  <c:v>184.1</c:v>
                </c:pt>
              </c:numCache>
            </c:numRef>
          </c:val>
        </c:ser>
        <c:ser>
          <c:idx val="3"/>
          <c:order val="3"/>
          <c:tx>
            <c:strRef>
              <c:f>'Data for Graphs'!$K$222</c:f>
              <c:strCache>
                <c:ptCount val="1"/>
                <c:pt idx="0">
                  <c:v>Manzanita Block II,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Graphs'!$G$223:$G$234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40586</c:v>
                </c:pt>
                <c:pt idx="10">
                  <c:v>40639</c:v>
                </c:pt>
                <c:pt idx="11">
                  <c:v>40679</c:v>
                </c:pt>
              </c:numCache>
            </c:numRef>
          </c:cat>
          <c:val>
            <c:numRef>
              <c:f>'Data for Graphs'!$K$223:$K$234</c:f>
              <c:numCache>
                <c:formatCode>General</c:formatCode>
                <c:ptCount val="12"/>
                <c:pt idx="1">
                  <c:v>146.65</c:v>
                </c:pt>
                <c:pt idx="2">
                  <c:v>90.3</c:v>
                </c:pt>
                <c:pt idx="3">
                  <c:v>69.3</c:v>
                </c:pt>
                <c:pt idx="4">
                  <c:v>185.5</c:v>
                </c:pt>
                <c:pt idx="5">
                  <c:v>134.75</c:v>
                </c:pt>
                <c:pt idx="6">
                  <c:v>108.85</c:v>
                </c:pt>
                <c:pt idx="7">
                  <c:v>101.15</c:v>
                </c:pt>
                <c:pt idx="8">
                  <c:v>89.25</c:v>
                </c:pt>
                <c:pt idx="9">
                  <c:v>86.8</c:v>
                </c:pt>
              </c:numCache>
            </c:numRef>
          </c:val>
        </c:ser>
        <c:marker val="1"/>
        <c:axId val="71227264"/>
        <c:axId val="71303168"/>
      </c:lineChart>
      <c:dateAx>
        <c:axId val="7122726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303168"/>
        <c:crosses val="autoZero"/>
        <c:auto val="1"/>
        <c:lblOffset val="100"/>
        <c:majorUnit val="20"/>
        <c:majorTimeUnit val="days"/>
      </c:dateAx>
      <c:valAx>
        <c:axId val="71303168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227264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5.2977343111451976E-2"/>
          <c:y val="9.1069437340671647E-2"/>
          <c:w val="0.93815134690152469"/>
          <c:h val="0.7117134053316736"/>
        </c:manualLayout>
      </c:layout>
      <c:lineChart>
        <c:grouping val="standard"/>
        <c:ser>
          <c:idx val="0"/>
          <c:order val="0"/>
          <c:tx>
            <c:strRef>
              <c:f>'Data for Graphs'!$B$177</c:f>
              <c:strCache>
                <c:ptCount val="1"/>
                <c:pt idx="0">
                  <c:v>Manzanita Block B2,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Graphs'!$A$178:$A$189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Graphs'!$B$178:$B$189</c:f>
              <c:numCache>
                <c:formatCode>General</c:formatCode>
                <c:ptCount val="12"/>
                <c:pt idx="0">
                  <c:v>3.65</c:v>
                </c:pt>
                <c:pt idx="1">
                  <c:v>5.96</c:v>
                </c:pt>
                <c:pt idx="2">
                  <c:v>3.78</c:v>
                </c:pt>
                <c:pt idx="3">
                  <c:v>4.34</c:v>
                </c:pt>
                <c:pt idx="4">
                  <c:v>3.92</c:v>
                </c:pt>
                <c:pt idx="5">
                  <c:v>4.71</c:v>
                </c:pt>
                <c:pt idx="6">
                  <c:v>4.57</c:v>
                </c:pt>
                <c:pt idx="7">
                  <c:v>4.21</c:v>
                </c:pt>
                <c:pt idx="8">
                  <c:v>5.89</c:v>
                </c:pt>
                <c:pt idx="9">
                  <c:v>4.87</c:v>
                </c:pt>
                <c:pt idx="10">
                  <c:v>4.63</c:v>
                </c:pt>
                <c:pt idx="11">
                  <c:v>5.6</c:v>
                </c:pt>
              </c:numCache>
            </c:numRef>
          </c:val>
        </c:ser>
        <c:ser>
          <c:idx val="1"/>
          <c:order val="1"/>
          <c:tx>
            <c:strRef>
              <c:f>'Data for Graphs'!$C$177</c:f>
              <c:strCache>
                <c:ptCount val="1"/>
                <c:pt idx="0">
                  <c:v>Manzanita Block B2,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Graphs'!$A$178:$A$189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Graphs'!$C$178:$C$189</c:f>
              <c:numCache>
                <c:formatCode>General</c:formatCode>
                <c:ptCount val="12"/>
                <c:pt idx="0">
                  <c:v>3.64</c:v>
                </c:pt>
                <c:pt idx="1">
                  <c:v>4.0999999999999996</c:v>
                </c:pt>
                <c:pt idx="2">
                  <c:v>4.13</c:v>
                </c:pt>
                <c:pt idx="3">
                  <c:v>2.85</c:v>
                </c:pt>
                <c:pt idx="4">
                  <c:v>3.92</c:v>
                </c:pt>
                <c:pt idx="5">
                  <c:v>3.17</c:v>
                </c:pt>
                <c:pt idx="6">
                  <c:v>3.77</c:v>
                </c:pt>
                <c:pt idx="7">
                  <c:v>4.16</c:v>
                </c:pt>
                <c:pt idx="8">
                  <c:v>3.12</c:v>
                </c:pt>
                <c:pt idx="9">
                  <c:v>9.42</c:v>
                </c:pt>
                <c:pt idx="10">
                  <c:v>6.57</c:v>
                </c:pt>
                <c:pt idx="11">
                  <c:v>1.07</c:v>
                </c:pt>
              </c:numCache>
            </c:numRef>
          </c:val>
        </c:ser>
        <c:ser>
          <c:idx val="2"/>
          <c:order val="2"/>
          <c:tx>
            <c:strRef>
              <c:f>'Data for Graphs'!$D$177</c:f>
              <c:strCache>
                <c:ptCount val="1"/>
                <c:pt idx="0">
                  <c:v>Manzanita Block B2,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Graphs'!$A$178:$A$189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Graphs'!$D$178:$D$189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2.66</c:v>
                </c:pt>
                <c:pt idx="2">
                  <c:v>1.86</c:v>
                </c:pt>
                <c:pt idx="3">
                  <c:v>2.67</c:v>
                </c:pt>
                <c:pt idx="4">
                  <c:v>2.1800000000000002</c:v>
                </c:pt>
                <c:pt idx="5">
                  <c:v>2.13</c:v>
                </c:pt>
                <c:pt idx="6">
                  <c:v>2.86</c:v>
                </c:pt>
                <c:pt idx="7">
                  <c:v>3.44</c:v>
                </c:pt>
                <c:pt idx="8">
                  <c:v>2.1800000000000002</c:v>
                </c:pt>
                <c:pt idx="9">
                  <c:v>4.87</c:v>
                </c:pt>
                <c:pt idx="10">
                  <c:v>2.33</c:v>
                </c:pt>
                <c:pt idx="11">
                  <c:v>1.18</c:v>
                </c:pt>
              </c:numCache>
            </c:numRef>
          </c:val>
        </c:ser>
        <c:ser>
          <c:idx val="3"/>
          <c:order val="3"/>
          <c:tx>
            <c:strRef>
              <c:f>'Data for Graphs'!$E$177</c:f>
              <c:strCache>
                <c:ptCount val="1"/>
                <c:pt idx="0">
                  <c:v>Manzanita Block B2,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Graphs'!$A$178:$A$189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Graphs'!$E$178:$E$189</c:f>
              <c:numCache>
                <c:formatCode>General</c:formatCode>
                <c:ptCount val="12"/>
                <c:pt idx="1">
                  <c:v>1.65</c:v>
                </c:pt>
                <c:pt idx="2">
                  <c:v>1.56</c:v>
                </c:pt>
                <c:pt idx="3">
                  <c:v>2.56</c:v>
                </c:pt>
                <c:pt idx="4">
                  <c:v>2.64</c:v>
                </c:pt>
                <c:pt idx="5">
                  <c:v>1.74</c:v>
                </c:pt>
                <c:pt idx="6">
                  <c:v>2.17</c:v>
                </c:pt>
                <c:pt idx="7">
                  <c:v>2.27</c:v>
                </c:pt>
                <c:pt idx="9">
                  <c:v>3.06</c:v>
                </c:pt>
                <c:pt idx="10">
                  <c:v>1.59</c:v>
                </c:pt>
              </c:numCache>
            </c:numRef>
          </c:val>
        </c:ser>
        <c:marker val="1"/>
        <c:axId val="71341184"/>
        <c:axId val="71343104"/>
      </c:lineChart>
      <c:dateAx>
        <c:axId val="7134118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343104"/>
        <c:crosses val="autoZero"/>
        <c:auto val="1"/>
        <c:lblOffset val="100"/>
        <c:majorUnit val="20"/>
        <c:majorTimeUnit val="days"/>
      </c:dateAx>
      <c:valAx>
        <c:axId val="71343104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34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5525749844571202E-3"/>
          <c:y val="0.91641147409016455"/>
          <c:w val="0.99744742501554251"/>
          <c:h val="7.0163056031603804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4359656703664619E-2"/>
          <c:y val="9.0889972298155833E-2"/>
          <c:w val="0.9353410428022505"/>
          <c:h val="0.70334883891045263"/>
        </c:manualLayout>
      </c:layout>
      <c:lineChart>
        <c:grouping val="standard"/>
        <c:ser>
          <c:idx val="0"/>
          <c:order val="0"/>
          <c:tx>
            <c:strRef>
              <c:f>'Data for Graphs'!$H$177</c:f>
              <c:strCache>
                <c:ptCount val="1"/>
                <c:pt idx="0">
                  <c:v>Manzanita Block B2,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Graphs'!$G$178:$G$189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Graphs'!$H$178:$H$189</c:f>
              <c:numCache>
                <c:formatCode>General</c:formatCode>
                <c:ptCount val="12"/>
                <c:pt idx="0">
                  <c:v>70.7</c:v>
                </c:pt>
                <c:pt idx="1">
                  <c:v>500.5</c:v>
                </c:pt>
                <c:pt idx="2">
                  <c:v>138.6</c:v>
                </c:pt>
                <c:pt idx="3">
                  <c:v>266.7</c:v>
                </c:pt>
                <c:pt idx="4">
                  <c:v>112.7</c:v>
                </c:pt>
                <c:pt idx="5">
                  <c:v>437.5</c:v>
                </c:pt>
                <c:pt idx="6">
                  <c:v>274.75</c:v>
                </c:pt>
                <c:pt idx="7">
                  <c:v>293.3</c:v>
                </c:pt>
                <c:pt idx="8">
                  <c:v>409.5</c:v>
                </c:pt>
                <c:pt idx="9">
                  <c:v>212.8</c:v>
                </c:pt>
                <c:pt idx="10">
                  <c:v>105.35</c:v>
                </c:pt>
                <c:pt idx="11">
                  <c:v>127.4</c:v>
                </c:pt>
              </c:numCache>
            </c:numRef>
          </c:val>
        </c:ser>
        <c:ser>
          <c:idx val="1"/>
          <c:order val="1"/>
          <c:tx>
            <c:strRef>
              <c:f>'Data for Graphs'!$I$177</c:f>
              <c:strCache>
                <c:ptCount val="1"/>
                <c:pt idx="0">
                  <c:v>Manzanita Block B2,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Graphs'!$G$178:$G$189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Graphs'!$I$178:$I$189</c:f>
              <c:numCache>
                <c:formatCode>General</c:formatCode>
                <c:ptCount val="12"/>
                <c:pt idx="0">
                  <c:v>99.4</c:v>
                </c:pt>
                <c:pt idx="1">
                  <c:v>331.1</c:v>
                </c:pt>
                <c:pt idx="2">
                  <c:v>256.89999999999998</c:v>
                </c:pt>
                <c:pt idx="3">
                  <c:v>135.44999999999999</c:v>
                </c:pt>
                <c:pt idx="4">
                  <c:v>167.3</c:v>
                </c:pt>
                <c:pt idx="5">
                  <c:v>240.8</c:v>
                </c:pt>
                <c:pt idx="6">
                  <c:v>252</c:v>
                </c:pt>
                <c:pt idx="7">
                  <c:v>284.89999999999998</c:v>
                </c:pt>
                <c:pt idx="8">
                  <c:v>112</c:v>
                </c:pt>
                <c:pt idx="9">
                  <c:v>273</c:v>
                </c:pt>
                <c:pt idx="10">
                  <c:v>4.2</c:v>
                </c:pt>
                <c:pt idx="11">
                  <c:v>37.799999999999997</c:v>
                </c:pt>
              </c:numCache>
            </c:numRef>
          </c:val>
        </c:ser>
        <c:ser>
          <c:idx val="2"/>
          <c:order val="2"/>
          <c:tx>
            <c:strRef>
              <c:f>'Data for Graphs'!$J$177</c:f>
              <c:strCache>
                <c:ptCount val="1"/>
                <c:pt idx="0">
                  <c:v>Manzanita Block B2,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Graphs'!$G$178:$G$189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Graphs'!$J$178:$J$189</c:f>
              <c:numCache>
                <c:formatCode>General</c:formatCode>
                <c:ptCount val="12"/>
                <c:pt idx="0">
                  <c:v>147.69999999999999</c:v>
                </c:pt>
                <c:pt idx="1">
                  <c:v>179.2</c:v>
                </c:pt>
                <c:pt idx="2">
                  <c:v>145.25</c:v>
                </c:pt>
                <c:pt idx="3">
                  <c:v>142.1</c:v>
                </c:pt>
                <c:pt idx="4">
                  <c:v>91.35</c:v>
                </c:pt>
                <c:pt idx="5">
                  <c:v>115.85</c:v>
                </c:pt>
                <c:pt idx="6">
                  <c:v>190.05</c:v>
                </c:pt>
                <c:pt idx="7">
                  <c:v>202.65</c:v>
                </c:pt>
                <c:pt idx="8">
                  <c:v>89.95</c:v>
                </c:pt>
                <c:pt idx="9">
                  <c:v>219.8</c:v>
                </c:pt>
                <c:pt idx="10">
                  <c:v>48.65</c:v>
                </c:pt>
                <c:pt idx="11">
                  <c:v>42.35</c:v>
                </c:pt>
              </c:numCache>
            </c:numRef>
          </c:val>
        </c:ser>
        <c:ser>
          <c:idx val="3"/>
          <c:order val="3"/>
          <c:tx>
            <c:strRef>
              <c:f>'Data for Graphs'!$K$177</c:f>
              <c:strCache>
                <c:ptCount val="1"/>
                <c:pt idx="0">
                  <c:v>Manzanita Block B2,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Graphs'!$G$178:$G$189</c:f>
              <c:numCache>
                <c:formatCode>m/d/yyyy</c:formatCode>
                <c:ptCount val="12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  <c:pt idx="8">
                  <c:v>40549</c:v>
                </c:pt>
                <c:pt idx="9">
                  <c:v>40566</c:v>
                </c:pt>
                <c:pt idx="10">
                  <c:v>40586</c:v>
                </c:pt>
                <c:pt idx="11">
                  <c:v>40632</c:v>
                </c:pt>
              </c:numCache>
            </c:numRef>
          </c:cat>
          <c:val>
            <c:numRef>
              <c:f>'Data for Graphs'!$K$178:$K$189</c:f>
              <c:numCache>
                <c:formatCode>General</c:formatCode>
                <c:ptCount val="12"/>
                <c:pt idx="1">
                  <c:v>82.25</c:v>
                </c:pt>
                <c:pt idx="2">
                  <c:v>92.75</c:v>
                </c:pt>
                <c:pt idx="3">
                  <c:v>136.15</c:v>
                </c:pt>
                <c:pt idx="4">
                  <c:v>95.2</c:v>
                </c:pt>
                <c:pt idx="5">
                  <c:v>75.95</c:v>
                </c:pt>
                <c:pt idx="6">
                  <c:v>85.75</c:v>
                </c:pt>
                <c:pt idx="7">
                  <c:v>118.65</c:v>
                </c:pt>
                <c:pt idx="9">
                  <c:v>116.9</c:v>
                </c:pt>
                <c:pt idx="10">
                  <c:v>42.35</c:v>
                </c:pt>
              </c:numCache>
            </c:numRef>
          </c:val>
        </c:ser>
        <c:marker val="1"/>
        <c:axId val="71418624"/>
        <c:axId val="71420544"/>
      </c:lineChart>
      <c:dateAx>
        <c:axId val="7141862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420544"/>
        <c:crosses val="autoZero"/>
        <c:auto val="1"/>
        <c:lblOffset val="100"/>
        <c:majorUnit val="20"/>
        <c:majorTimeUnit val="days"/>
      </c:dateAx>
      <c:valAx>
        <c:axId val="7142054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418624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0"/>
          <c:y val="0.9121098592470599"/>
          <c:w val="0.99163482365311206"/>
          <c:h val="7.4491127637733218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6.6064119219858025E-2"/>
          <c:y val="9.0889972298155833E-2"/>
          <c:w val="0.91685931257278774"/>
          <c:h val="0.70334883891045263"/>
        </c:manualLayout>
      </c:layout>
      <c:lineChart>
        <c:grouping val="standard"/>
        <c:ser>
          <c:idx val="0"/>
          <c:order val="0"/>
          <c:tx>
            <c:strRef>
              <c:f>'Data for Graphs'!$H$145</c:f>
              <c:strCache>
                <c:ptCount val="1"/>
                <c:pt idx="0">
                  <c:v>Manzanita Block A2,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Graphs'!$G$146:$G$159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Graphs'!$H$146:$H$159</c:f>
              <c:numCache>
                <c:formatCode>General</c:formatCode>
                <c:ptCount val="14"/>
                <c:pt idx="0">
                  <c:v>161</c:v>
                </c:pt>
                <c:pt idx="1">
                  <c:v>176.4</c:v>
                </c:pt>
                <c:pt idx="2">
                  <c:v>138.6</c:v>
                </c:pt>
                <c:pt idx="3">
                  <c:v>55.3</c:v>
                </c:pt>
                <c:pt idx="4">
                  <c:v>176.4</c:v>
                </c:pt>
                <c:pt idx="5">
                  <c:v>324.8</c:v>
                </c:pt>
                <c:pt idx="6">
                  <c:v>235.9</c:v>
                </c:pt>
                <c:pt idx="7">
                  <c:v>181.3</c:v>
                </c:pt>
                <c:pt idx="8">
                  <c:v>211.4</c:v>
                </c:pt>
                <c:pt idx="9">
                  <c:v>773.5</c:v>
                </c:pt>
                <c:pt idx="10">
                  <c:v>413</c:v>
                </c:pt>
                <c:pt idx="11">
                  <c:v>166.25</c:v>
                </c:pt>
                <c:pt idx="12">
                  <c:v>39.200000000000003</c:v>
                </c:pt>
                <c:pt idx="13">
                  <c:v>263.55</c:v>
                </c:pt>
              </c:numCache>
            </c:numRef>
          </c:val>
        </c:ser>
        <c:ser>
          <c:idx val="1"/>
          <c:order val="1"/>
          <c:tx>
            <c:strRef>
              <c:f>'Data for Graphs'!$I$145</c:f>
              <c:strCache>
                <c:ptCount val="1"/>
                <c:pt idx="0">
                  <c:v>Manzanita Block A2,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Graphs'!$G$146:$G$159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Graphs'!$I$146:$I$159</c:f>
              <c:numCache>
                <c:formatCode>General</c:formatCode>
                <c:ptCount val="14"/>
                <c:pt idx="0">
                  <c:v>217</c:v>
                </c:pt>
                <c:pt idx="1">
                  <c:v>154.69999999999999</c:v>
                </c:pt>
                <c:pt idx="2">
                  <c:v>256.89999999999998</c:v>
                </c:pt>
                <c:pt idx="3">
                  <c:v>72.8</c:v>
                </c:pt>
                <c:pt idx="4">
                  <c:v>103.6</c:v>
                </c:pt>
                <c:pt idx="5">
                  <c:v>82.95</c:v>
                </c:pt>
                <c:pt idx="6">
                  <c:v>367.5</c:v>
                </c:pt>
                <c:pt idx="7">
                  <c:v>90.65</c:v>
                </c:pt>
                <c:pt idx="8">
                  <c:v>289.8</c:v>
                </c:pt>
                <c:pt idx="9">
                  <c:v>98</c:v>
                </c:pt>
                <c:pt idx="10">
                  <c:v>252.7</c:v>
                </c:pt>
                <c:pt idx="11">
                  <c:v>4.9000000000000004</c:v>
                </c:pt>
                <c:pt idx="12">
                  <c:v>17.149999999999999</c:v>
                </c:pt>
                <c:pt idx="13">
                  <c:v>171.5</c:v>
                </c:pt>
              </c:numCache>
            </c:numRef>
          </c:val>
        </c:ser>
        <c:ser>
          <c:idx val="2"/>
          <c:order val="2"/>
          <c:tx>
            <c:strRef>
              <c:f>'Data for Graphs'!$J$145</c:f>
              <c:strCache>
                <c:ptCount val="1"/>
                <c:pt idx="0">
                  <c:v>Manzanita Block A2,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Graphs'!$G$146:$G$159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Graphs'!$J$146:$J$159</c:f>
              <c:numCache>
                <c:formatCode>General</c:formatCode>
                <c:ptCount val="14"/>
                <c:pt idx="0">
                  <c:v>123.9</c:v>
                </c:pt>
                <c:pt idx="1">
                  <c:v>79.099999999999994</c:v>
                </c:pt>
                <c:pt idx="2">
                  <c:v>145.25</c:v>
                </c:pt>
                <c:pt idx="3">
                  <c:v>75.95</c:v>
                </c:pt>
                <c:pt idx="4">
                  <c:v>186.9</c:v>
                </c:pt>
                <c:pt idx="5">
                  <c:v>206.5</c:v>
                </c:pt>
                <c:pt idx="6">
                  <c:v>97.3</c:v>
                </c:pt>
                <c:pt idx="7">
                  <c:v>53.2</c:v>
                </c:pt>
                <c:pt idx="8">
                  <c:v>226.8</c:v>
                </c:pt>
                <c:pt idx="9">
                  <c:v>91</c:v>
                </c:pt>
                <c:pt idx="10">
                  <c:v>104.65</c:v>
                </c:pt>
                <c:pt idx="11">
                  <c:v>77.349999999999994</c:v>
                </c:pt>
                <c:pt idx="12">
                  <c:v>23.45</c:v>
                </c:pt>
                <c:pt idx="13">
                  <c:v>92.75</c:v>
                </c:pt>
              </c:numCache>
            </c:numRef>
          </c:val>
        </c:ser>
        <c:ser>
          <c:idx val="3"/>
          <c:order val="3"/>
          <c:tx>
            <c:strRef>
              <c:f>'Data for Graphs'!$K$145</c:f>
              <c:strCache>
                <c:ptCount val="1"/>
                <c:pt idx="0">
                  <c:v>Manzanita Block A2,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Graphs'!$G$146:$G$159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Graphs'!$K$146:$K$159</c:f>
              <c:numCache>
                <c:formatCode>General</c:formatCode>
                <c:ptCount val="14"/>
                <c:pt idx="1">
                  <c:v>65.45</c:v>
                </c:pt>
                <c:pt idx="2">
                  <c:v>92.75</c:v>
                </c:pt>
                <c:pt idx="3">
                  <c:v>77</c:v>
                </c:pt>
                <c:pt idx="4">
                  <c:v>91.35</c:v>
                </c:pt>
                <c:pt idx="5">
                  <c:v>67.55</c:v>
                </c:pt>
                <c:pt idx="6">
                  <c:v>84</c:v>
                </c:pt>
                <c:pt idx="7">
                  <c:v>33.6</c:v>
                </c:pt>
                <c:pt idx="8">
                  <c:v>127.75</c:v>
                </c:pt>
                <c:pt idx="10">
                  <c:v>84.7</c:v>
                </c:pt>
                <c:pt idx="11">
                  <c:v>59.15</c:v>
                </c:pt>
              </c:numCache>
            </c:numRef>
          </c:val>
        </c:ser>
        <c:marker val="1"/>
        <c:axId val="71446912"/>
        <c:axId val="71448832"/>
      </c:lineChart>
      <c:dateAx>
        <c:axId val="71446912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448832"/>
        <c:crosses val="autoZero"/>
        <c:auto val="1"/>
        <c:lblOffset val="100"/>
        <c:majorUnit val="20"/>
        <c:majorTimeUnit val="days"/>
      </c:dateAx>
      <c:valAx>
        <c:axId val="71448832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446912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4.9159657609953904E-3"/>
          <c:y val="0.90541035268945624"/>
          <c:w val="0.9"/>
          <c:h val="3.6915116564177598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0952E-2"/>
          <c:w val="0.93338211382113756"/>
          <c:h val="0.74138469753542124"/>
        </c:manualLayout>
      </c:layout>
      <c:lineChart>
        <c:grouping val="standard"/>
        <c:ser>
          <c:idx val="0"/>
          <c:order val="0"/>
          <c:tx>
            <c:strRef>
              <c:f>'Data for Graphs'!$B$145</c:f>
              <c:strCache>
                <c:ptCount val="1"/>
                <c:pt idx="0">
                  <c:v>Manzanita Block A2,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Graphs'!$A$146:$A$159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Graphs'!$B$146:$B$159</c:f>
              <c:numCache>
                <c:formatCode>General</c:formatCode>
                <c:ptCount val="14"/>
                <c:pt idx="0">
                  <c:v>4.09</c:v>
                </c:pt>
                <c:pt idx="1">
                  <c:v>4.07</c:v>
                </c:pt>
                <c:pt idx="2">
                  <c:v>3.78</c:v>
                </c:pt>
                <c:pt idx="3">
                  <c:v>1.94</c:v>
                </c:pt>
                <c:pt idx="4">
                  <c:v>4.43</c:v>
                </c:pt>
                <c:pt idx="5">
                  <c:v>5.81</c:v>
                </c:pt>
                <c:pt idx="6">
                  <c:v>3.98</c:v>
                </c:pt>
                <c:pt idx="7">
                  <c:v>2.92</c:v>
                </c:pt>
                <c:pt idx="8">
                  <c:v>3.52</c:v>
                </c:pt>
                <c:pt idx="9">
                  <c:v>9.66</c:v>
                </c:pt>
                <c:pt idx="10">
                  <c:v>6.11</c:v>
                </c:pt>
                <c:pt idx="11">
                  <c:v>4.8600000000000003</c:v>
                </c:pt>
                <c:pt idx="12">
                  <c:v>5.1100000000000003</c:v>
                </c:pt>
                <c:pt idx="13">
                  <c:v>6.87</c:v>
                </c:pt>
              </c:numCache>
            </c:numRef>
          </c:val>
        </c:ser>
        <c:ser>
          <c:idx val="1"/>
          <c:order val="1"/>
          <c:tx>
            <c:strRef>
              <c:f>'Data for Graphs'!$C$145</c:f>
              <c:strCache>
                <c:ptCount val="1"/>
                <c:pt idx="0">
                  <c:v>Manzanita Block A2,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Graphs'!$A$146:$A$159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Graphs'!$C$146:$C$159</c:f>
              <c:numCache>
                <c:formatCode>General</c:formatCode>
                <c:ptCount val="14"/>
                <c:pt idx="0">
                  <c:v>3.71</c:v>
                </c:pt>
                <c:pt idx="1">
                  <c:v>4.26</c:v>
                </c:pt>
                <c:pt idx="2">
                  <c:v>4.13</c:v>
                </c:pt>
                <c:pt idx="3">
                  <c:v>1.66</c:v>
                </c:pt>
                <c:pt idx="4">
                  <c:v>1.92</c:v>
                </c:pt>
                <c:pt idx="5">
                  <c:v>2.2400000000000002</c:v>
                </c:pt>
                <c:pt idx="6">
                  <c:v>4.09</c:v>
                </c:pt>
                <c:pt idx="7">
                  <c:v>2.36</c:v>
                </c:pt>
                <c:pt idx="8">
                  <c:v>4.3099999999999996</c:v>
                </c:pt>
                <c:pt idx="9">
                  <c:v>2.9</c:v>
                </c:pt>
                <c:pt idx="10">
                  <c:v>4.4800000000000004</c:v>
                </c:pt>
                <c:pt idx="11">
                  <c:v>6.35</c:v>
                </c:pt>
                <c:pt idx="12">
                  <c:v>0.72</c:v>
                </c:pt>
                <c:pt idx="13">
                  <c:v>3.61</c:v>
                </c:pt>
              </c:numCache>
            </c:numRef>
          </c:val>
        </c:ser>
        <c:ser>
          <c:idx val="2"/>
          <c:order val="2"/>
          <c:tx>
            <c:strRef>
              <c:f>'Data for Graphs'!$D$145</c:f>
              <c:strCache>
                <c:ptCount val="1"/>
                <c:pt idx="0">
                  <c:v>Manzanita Block A2,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Graphs'!$A$146:$A$159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Graphs'!$D$146:$D$159</c:f>
              <c:numCache>
                <c:formatCode>General</c:formatCode>
                <c:ptCount val="14"/>
                <c:pt idx="0">
                  <c:v>2.91</c:v>
                </c:pt>
                <c:pt idx="1">
                  <c:v>2.0099999999999998</c:v>
                </c:pt>
                <c:pt idx="2">
                  <c:v>1.86</c:v>
                </c:pt>
                <c:pt idx="3">
                  <c:v>1.64</c:v>
                </c:pt>
                <c:pt idx="4">
                  <c:v>3.52</c:v>
                </c:pt>
                <c:pt idx="5">
                  <c:v>3</c:v>
                </c:pt>
                <c:pt idx="6">
                  <c:v>1.87</c:v>
                </c:pt>
                <c:pt idx="7">
                  <c:v>1.33</c:v>
                </c:pt>
                <c:pt idx="8">
                  <c:v>3.28</c:v>
                </c:pt>
                <c:pt idx="9">
                  <c:v>2.4</c:v>
                </c:pt>
                <c:pt idx="10">
                  <c:v>2.25</c:v>
                </c:pt>
                <c:pt idx="11">
                  <c:v>2.2000000000000002</c:v>
                </c:pt>
                <c:pt idx="12">
                  <c:v>0.76</c:v>
                </c:pt>
                <c:pt idx="13">
                  <c:v>2.14</c:v>
                </c:pt>
              </c:numCache>
            </c:numRef>
          </c:val>
        </c:ser>
        <c:ser>
          <c:idx val="3"/>
          <c:order val="3"/>
          <c:tx>
            <c:strRef>
              <c:f>'Data for Graphs'!$E$145</c:f>
              <c:strCache>
                <c:ptCount val="1"/>
                <c:pt idx="0">
                  <c:v>Manzanita Block A2,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Graphs'!$A$146:$A$159</c:f>
              <c:numCache>
                <c:formatCode>m/d/yyyy</c:formatCode>
                <c:ptCount val="14"/>
                <c:pt idx="0">
                  <c:v>40336</c:v>
                </c:pt>
                <c:pt idx="1">
                  <c:v>40379</c:v>
                </c:pt>
                <c:pt idx="2">
                  <c:v>40389</c:v>
                </c:pt>
                <c:pt idx="3">
                  <c:v>40401</c:v>
                </c:pt>
                <c:pt idx="4">
                  <c:v>40410</c:v>
                </c:pt>
                <c:pt idx="5">
                  <c:v>40417</c:v>
                </c:pt>
                <c:pt idx="6">
                  <c:v>40422</c:v>
                </c:pt>
                <c:pt idx="7">
                  <c:v>40431</c:v>
                </c:pt>
                <c:pt idx="8">
                  <c:v>40438</c:v>
                </c:pt>
                <c:pt idx="9">
                  <c:v>40549</c:v>
                </c:pt>
                <c:pt idx="10">
                  <c:v>40566</c:v>
                </c:pt>
                <c:pt idx="11">
                  <c:v>40586</c:v>
                </c:pt>
                <c:pt idx="12">
                  <c:v>40632</c:v>
                </c:pt>
                <c:pt idx="13">
                  <c:v>40679</c:v>
                </c:pt>
              </c:numCache>
            </c:numRef>
          </c:cat>
          <c:val>
            <c:numRef>
              <c:f>'Data for Graphs'!$E$146:$E$159</c:f>
              <c:numCache>
                <c:formatCode>General</c:formatCode>
                <c:ptCount val="14"/>
                <c:pt idx="1">
                  <c:v>1.84</c:v>
                </c:pt>
                <c:pt idx="2">
                  <c:v>1.56</c:v>
                </c:pt>
                <c:pt idx="3">
                  <c:v>1.5</c:v>
                </c:pt>
                <c:pt idx="4">
                  <c:v>2.29</c:v>
                </c:pt>
                <c:pt idx="5">
                  <c:v>1.43</c:v>
                </c:pt>
                <c:pt idx="6">
                  <c:v>1.57</c:v>
                </c:pt>
                <c:pt idx="7">
                  <c:v>1.1499999999999999</c:v>
                </c:pt>
                <c:pt idx="8">
                  <c:v>2.17</c:v>
                </c:pt>
                <c:pt idx="10">
                  <c:v>3.27</c:v>
                </c:pt>
                <c:pt idx="11">
                  <c:v>2.35</c:v>
                </c:pt>
              </c:numCache>
            </c:numRef>
          </c:val>
        </c:ser>
        <c:marker val="1"/>
        <c:axId val="71565312"/>
        <c:axId val="71567232"/>
      </c:lineChart>
      <c:dateAx>
        <c:axId val="71565312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567232"/>
        <c:crosses val="autoZero"/>
        <c:auto val="1"/>
        <c:lblOffset val="100"/>
        <c:majorUnit val="20"/>
        <c:majorTimeUnit val="days"/>
      </c:dateAx>
      <c:valAx>
        <c:axId val="71567232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565312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930612244897982E-2"/>
          <c:y val="8.9076285690011664E-2"/>
          <c:w val="0.93311020408163259"/>
          <c:h val="0.71299889242723424"/>
        </c:manualLayout>
      </c:layout>
      <c:lineChart>
        <c:grouping val="standard"/>
        <c:ser>
          <c:idx val="0"/>
          <c:order val="0"/>
          <c:tx>
            <c:strRef>
              <c:f>'Data for Graphs'!$B$260</c:f>
              <c:strCache>
                <c:ptCount val="1"/>
                <c:pt idx="0">
                  <c:v>Manzanita Block 7I,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Graphs'!$A$261:$A$267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Graphs'!$B$261:$B$267</c:f>
              <c:numCache>
                <c:formatCode>General</c:formatCode>
                <c:ptCount val="7"/>
                <c:pt idx="0">
                  <c:v>4.8</c:v>
                </c:pt>
                <c:pt idx="1">
                  <c:v>3.53</c:v>
                </c:pt>
                <c:pt idx="2">
                  <c:v>3.21</c:v>
                </c:pt>
                <c:pt idx="3">
                  <c:v>4.99</c:v>
                </c:pt>
                <c:pt idx="4">
                  <c:v>2.73</c:v>
                </c:pt>
                <c:pt idx="5">
                  <c:v>3.08</c:v>
                </c:pt>
                <c:pt idx="6" formatCode="0.00">
                  <c:v>1.4</c:v>
                </c:pt>
              </c:numCache>
            </c:numRef>
          </c:val>
        </c:ser>
        <c:ser>
          <c:idx val="1"/>
          <c:order val="1"/>
          <c:tx>
            <c:strRef>
              <c:f>'Data for Graphs'!$C$260</c:f>
              <c:strCache>
                <c:ptCount val="1"/>
                <c:pt idx="0">
                  <c:v>Manzanita Block 7I,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Graphs'!$A$261:$A$267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Graphs'!$C$261:$C$267</c:f>
              <c:numCache>
                <c:formatCode>General</c:formatCode>
                <c:ptCount val="7"/>
                <c:pt idx="0">
                  <c:v>3.32</c:v>
                </c:pt>
                <c:pt idx="1">
                  <c:v>1.55</c:v>
                </c:pt>
                <c:pt idx="2">
                  <c:v>1.32</c:v>
                </c:pt>
                <c:pt idx="4">
                  <c:v>3.06</c:v>
                </c:pt>
                <c:pt idx="5">
                  <c:v>2.0699999999999998</c:v>
                </c:pt>
                <c:pt idx="6" formatCode="0.00">
                  <c:v>1.51</c:v>
                </c:pt>
              </c:numCache>
            </c:numRef>
          </c:val>
        </c:ser>
        <c:ser>
          <c:idx val="2"/>
          <c:order val="2"/>
          <c:tx>
            <c:strRef>
              <c:f>'Data for Graphs'!$D$260</c:f>
              <c:strCache>
                <c:ptCount val="1"/>
                <c:pt idx="0">
                  <c:v>Manzanita Block 7I,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Graphs'!$A$261:$A$267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Graphs'!$D$261:$D$267</c:f>
              <c:numCache>
                <c:formatCode>General</c:formatCode>
                <c:ptCount val="7"/>
                <c:pt idx="0">
                  <c:v>3.52</c:v>
                </c:pt>
                <c:pt idx="1">
                  <c:v>1.73</c:v>
                </c:pt>
                <c:pt idx="3">
                  <c:v>3.95</c:v>
                </c:pt>
                <c:pt idx="4">
                  <c:v>2.97</c:v>
                </c:pt>
                <c:pt idx="5">
                  <c:v>2.48</c:v>
                </c:pt>
                <c:pt idx="6" formatCode="0.00">
                  <c:v>1.67</c:v>
                </c:pt>
              </c:numCache>
            </c:numRef>
          </c:val>
        </c:ser>
        <c:ser>
          <c:idx val="3"/>
          <c:order val="3"/>
          <c:tx>
            <c:strRef>
              <c:f>'Data for Graphs'!$E$260</c:f>
              <c:strCache>
                <c:ptCount val="1"/>
                <c:pt idx="0">
                  <c:v>Manzanita Block 7I,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Graphs'!$A$261:$A$267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Graphs'!$E$261:$E$267</c:f>
              <c:numCache>
                <c:formatCode>General</c:formatCode>
                <c:ptCount val="7"/>
                <c:pt idx="0">
                  <c:v>1.76</c:v>
                </c:pt>
                <c:pt idx="1">
                  <c:v>1</c:v>
                </c:pt>
                <c:pt idx="2">
                  <c:v>1.2</c:v>
                </c:pt>
                <c:pt idx="3">
                  <c:v>2.76</c:v>
                </c:pt>
                <c:pt idx="4">
                  <c:v>2.17</c:v>
                </c:pt>
                <c:pt idx="5">
                  <c:v>1.48</c:v>
                </c:pt>
                <c:pt idx="6" formatCode="0.00">
                  <c:v>1.54</c:v>
                </c:pt>
              </c:numCache>
            </c:numRef>
          </c:val>
        </c:ser>
        <c:marker val="1"/>
        <c:axId val="71671808"/>
        <c:axId val="71673728"/>
      </c:lineChart>
      <c:dateAx>
        <c:axId val="71671808"/>
        <c:scaling>
          <c:orientation val="minMax"/>
          <c:max val="40694"/>
          <c:min val="4037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673728"/>
        <c:crosses val="autoZero"/>
        <c:auto val="1"/>
        <c:lblOffset val="100"/>
        <c:majorUnit val="15"/>
        <c:majorTimeUnit val="days"/>
      </c:dateAx>
      <c:valAx>
        <c:axId val="7167372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671808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7979418537636119E-2"/>
          <c:y val="8.8341091742007577E-2"/>
          <c:w val="0.93441051793503649"/>
          <c:h val="0.71319712237298094"/>
        </c:manualLayout>
      </c:layout>
      <c:lineChart>
        <c:grouping val="standard"/>
        <c:ser>
          <c:idx val="0"/>
          <c:order val="0"/>
          <c:tx>
            <c:strRef>
              <c:f>'Data for Graphs'!$B$16</c:f>
              <c:strCache>
                <c:ptCount val="1"/>
                <c:pt idx="0">
                  <c:v>Eclipse Block 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Graphs'!$A$17:$A$33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Graphs'!$B$17:$B$33</c:f>
              <c:numCache>
                <c:formatCode>General</c:formatCode>
                <c:ptCount val="17"/>
                <c:pt idx="0">
                  <c:v>3.38</c:v>
                </c:pt>
                <c:pt idx="1">
                  <c:v>4.2300000000000004</c:v>
                </c:pt>
                <c:pt idx="2">
                  <c:v>5.0599999999999996</c:v>
                </c:pt>
                <c:pt idx="3">
                  <c:v>4.72</c:v>
                </c:pt>
                <c:pt idx="4">
                  <c:v>5.26</c:v>
                </c:pt>
                <c:pt idx="5">
                  <c:v>6.98</c:v>
                </c:pt>
                <c:pt idx="6">
                  <c:v>5</c:v>
                </c:pt>
                <c:pt idx="7">
                  <c:v>7.03</c:v>
                </c:pt>
                <c:pt idx="8">
                  <c:v>4.9400000000000004</c:v>
                </c:pt>
                <c:pt idx="9">
                  <c:v>4.5999999999999996</c:v>
                </c:pt>
                <c:pt idx="10">
                  <c:v>3.75</c:v>
                </c:pt>
                <c:pt idx="11">
                  <c:v>5.48</c:v>
                </c:pt>
                <c:pt idx="12">
                  <c:v>4.0999999999999996</c:v>
                </c:pt>
                <c:pt idx="13">
                  <c:v>4.21</c:v>
                </c:pt>
                <c:pt idx="14">
                  <c:v>4.1399999999999997</c:v>
                </c:pt>
                <c:pt idx="15">
                  <c:v>2.64</c:v>
                </c:pt>
                <c:pt idx="16">
                  <c:v>3.04</c:v>
                </c:pt>
              </c:numCache>
            </c:numRef>
          </c:val>
        </c:ser>
        <c:ser>
          <c:idx val="1"/>
          <c:order val="1"/>
          <c:tx>
            <c:strRef>
              <c:f>'Data for Graphs'!$C$16</c:f>
              <c:strCache>
                <c:ptCount val="1"/>
                <c:pt idx="0">
                  <c:v>Eclipse Block 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Graphs'!$A$17:$A$33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Graphs'!$C$17:$C$33</c:f>
              <c:numCache>
                <c:formatCode>General</c:formatCode>
                <c:ptCount val="17"/>
                <c:pt idx="0">
                  <c:v>4.04</c:v>
                </c:pt>
                <c:pt idx="1">
                  <c:v>3.82</c:v>
                </c:pt>
                <c:pt idx="2">
                  <c:v>4.25</c:v>
                </c:pt>
                <c:pt idx="3">
                  <c:v>3.74</c:v>
                </c:pt>
                <c:pt idx="4">
                  <c:v>9.9700000000000006</c:v>
                </c:pt>
                <c:pt idx="5">
                  <c:v>4.28</c:v>
                </c:pt>
                <c:pt idx="6">
                  <c:v>4.6900000000000004</c:v>
                </c:pt>
                <c:pt idx="7">
                  <c:v>5.8</c:v>
                </c:pt>
                <c:pt idx="8">
                  <c:v>5.99</c:v>
                </c:pt>
                <c:pt idx="9">
                  <c:v>4.53</c:v>
                </c:pt>
                <c:pt idx="10">
                  <c:v>9.14</c:v>
                </c:pt>
                <c:pt idx="11">
                  <c:v>8.8699999999999992</c:v>
                </c:pt>
                <c:pt idx="12">
                  <c:v>3.9</c:v>
                </c:pt>
                <c:pt idx="13">
                  <c:v>5.74</c:v>
                </c:pt>
                <c:pt idx="14">
                  <c:v>5.75</c:v>
                </c:pt>
                <c:pt idx="15">
                  <c:v>7.7</c:v>
                </c:pt>
                <c:pt idx="16">
                  <c:v>3.27</c:v>
                </c:pt>
              </c:numCache>
            </c:numRef>
          </c:val>
        </c:ser>
        <c:ser>
          <c:idx val="2"/>
          <c:order val="2"/>
          <c:tx>
            <c:strRef>
              <c:f>'Data for Graphs'!$D$16</c:f>
              <c:strCache>
                <c:ptCount val="1"/>
                <c:pt idx="0">
                  <c:v>Eclipse Block 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Graphs'!$A$17:$A$33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Graphs'!$D$17:$D$33</c:f>
              <c:numCache>
                <c:formatCode>General</c:formatCode>
                <c:ptCount val="17"/>
                <c:pt idx="0">
                  <c:v>3.81</c:v>
                </c:pt>
                <c:pt idx="1">
                  <c:v>3.88</c:v>
                </c:pt>
                <c:pt idx="2">
                  <c:v>3.44</c:v>
                </c:pt>
                <c:pt idx="3">
                  <c:v>4.0999999999999996</c:v>
                </c:pt>
                <c:pt idx="4">
                  <c:v>3.7</c:v>
                </c:pt>
                <c:pt idx="5">
                  <c:v>4.29</c:v>
                </c:pt>
                <c:pt idx="6">
                  <c:v>4.55</c:v>
                </c:pt>
                <c:pt idx="7">
                  <c:v>3.9</c:v>
                </c:pt>
                <c:pt idx="8">
                  <c:v>4.7300000000000004</c:v>
                </c:pt>
                <c:pt idx="9">
                  <c:v>4.7</c:v>
                </c:pt>
                <c:pt idx="10">
                  <c:v>5.77</c:v>
                </c:pt>
                <c:pt idx="11">
                  <c:v>5.26</c:v>
                </c:pt>
                <c:pt idx="12">
                  <c:v>3.71</c:v>
                </c:pt>
                <c:pt idx="13">
                  <c:v>5.18</c:v>
                </c:pt>
                <c:pt idx="14">
                  <c:v>4.1100000000000003</c:v>
                </c:pt>
                <c:pt idx="15">
                  <c:v>3.63</c:v>
                </c:pt>
                <c:pt idx="16">
                  <c:v>3.15</c:v>
                </c:pt>
              </c:numCache>
            </c:numRef>
          </c:val>
        </c:ser>
        <c:ser>
          <c:idx val="3"/>
          <c:order val="3"/>
          <c:tx>
            <c:strRef>
              <c:f>'Data for Graphs'!$E$16</c:f>
              <c:strCache>
                <c:ptCount val="1"/>
                <c:pt idx="0">
                  <c:v>Eclipse Block 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Graphs'!$A$17:$A$33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Graphs'!$E$17:$E$33</c:f>
              <c:numCache>
                <c:formatCode>General</c:formatCode>
                <c:ptCount val="17"/>
                <c:pt idx="1">
                  <c:v>3.76</c:v>
                </c:pt>
                <c:pt idx="2">
                  <c:v>4.09</c:v>
                </c:pt>
                <c:pt idx="3">
                  <c:v>4.96</c:v>
                </c:pt>
                <c:pt idx="4">
                  <c:v>3.58</c:v>
                </c:pt>
                <c:pt idx="5">
                  <c:v>4.83</c:v>
                </c:pt>
                <c:pt idx="6">
                  <c:v>4.75</c:v>
                </c:pt>
                <c:pt idx="7">
                  <c:v>4.13</c:v>
                </c:pt>
                <c:pt idx="8">
                  <c:v>3.71</c:v>
                </c:pt>
                <c:pt idx="9">
                  <c:v>4.4800000000000004</c:v>
                </c:pt>
                <c:pt idx="10">
                  <c:v>4.0999999999999996</c:v>
                </c:pt>
                <c:pt idx="11">
                  <c:v>4.04</c:v>
                </c:pt>
                <c:pt idx="12">
                  <c:v>3.58</c:v>
                </c:pt>
                <c:pt idx="14">
                  <c:v>3.98</c:v>
                </c:pt>
              </c:numCache>
            </c:numRef>
          </c:val>
        </c:ser>
        <c:marker val="1"/>
        <c:axId val="69972736"/>
        <c:axId val="69974656"/>
      </c:lineChart>
      <c:dateAx>
        <c:axId val="69972736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974656"/>
        <c:crosses val="autoZero"/>
        <c:auto val="1"/>
        <c:lblOffset val="100"/>
        <c:majorUnit val="15"/>
        <c:majorTimeUnit val="days"/>
      </c:dateAx>
      <c:valAx>
        <c:axId val="69974656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972736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7280917280917304E-2"/>
          <c:y val="8.8816148390617175E-2"/>
          <c:w val="0.9247010647010645"/>
          <c:h val="0.71383704696487671"/>
        </c:manualLayout>
      </c:layout>
      <c:lineChart>
        <c:grouping val="standard"/>
        <c:ser>
          <c:idx val="0"/>
          <c:order val="0"/>
          <c:tx>
            <c:strRef>
              <c:f>'Data for Graphs'!$H$260</c:f>
              <c:strCache>
                <c:ptCount val="1"/>
                <c:pt idx="0">
                  <c:v>Manzanita Block 7I,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Graphs'!$G$261:$G$267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Graphs'!$H$261:$H$267</c:f>
              <c:numCache>
                <c:formatCode>General</c:formatCode>
                <c:ptCount val="7"/>
                <c:pt idx="0">
                  <c:v>236.25</c:v>
                </c:pt>
                <c:pt idx="1">
                  <c:v>189.7</c:v>
                </c:pt>
                <c:pt idx="2">
                  <c:v>199.15</c:v>
                </c:pt>
                <c:pt idx="3">
                  <c:v>310.8</c:v>
                </c:pt>
                <c:pt idx="4">
                  <c:v>117.45</c:v>
                </c:pt>
                <c:pt idx="5">
                  <c:v>245.7</c:v>
                </c:pt>
                <c:pt idx="6" formatCode="0.00">
                  <c:v>36.4</c:v>
                </c:pt>
              </c:numCache>
            </c:numRef>
          </c:val>
        </c:ser>
        <c:ser>
          <c:idx val="1"/>
          <c:order val="1"/>
          <c:tx>
            <c:strRef>
              <c:f>'Data for Graphs'!$I$260</c:f>
              <c:strCache>
                <c:ptCount val="1"/>
                <c:pt idx="0">
                  <c:v>Manzanita Block 7I,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Graphs'!$G$261:$G$267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Graphs'!$I$261:$I$267</c:f>
              <c:numCache>
                <c:formatCode>General</c:formatCode>
                <c:ptCount val="7"/>
                <c:pt idx="0">
                  <c:v>181.3</c:v>
                </c:pt>
                <c:pt idx="1">
                  <c:v>74.55</c:v>
                </c:pt>
                <c:pt idx="2">
                  <c:v>55.3</c:v>
                </c:pt>
                <c:pt idx="4">
                  <c:v>212.45</c:v>
                </c:pt>
                <c:pt idx="5">
                  <c:v>121.8</c:v>
                </c:pt>
                <c:pt idx="6" formatCode="0.00">
                  <c:v>95.2</c:v>
                </c:pt>
              </c:numCache>
            </c:numRef>
          </c:val>
        </c:ser>
        <c:ser>
          <c:idx val="2"/>
          <c:order val="2"/>
          <c:tx>
            <c:strRef>
              <c:f>'Data for Graphs'!$J$260</c:f>
              <c:strCache>
                <c:ptCount val="1"/>
                <c:pt idx="0">
                  <c:v>Manzanita Block 7I,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Graphs'!$G$261:$G$267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Graphs'!$J$261:$J$267</c:f>
              <c:numCache>
                <c:formatCode>General</c:formatCode>
                <c:ptCount val="7"/>
                <c:pt idx="0">
                  <c:v>166.6</c:v>
                </c:pt>
                <c:pt idx="1">
                  <c:v>107.1</c:v>
                </c:pt>
                <c:pt idx="3">
                  <c:v>195.3</c:v>
                </c:pt>
                <c:pt idx="4">
                  <c:v>252</c:v>
                </c:pt>
                <c:pt idx="5">
                  <c:v>88.55</c:v>
                </c:pt>
                <c:pt idx="6" formatCode="0.00">
                  <c:v>77.349999999999994</c:v>
                </c:pt>
              </c:numCache>
            </c:numRef>
          </c:val>
        </c:ser>
        <c:ser>
          <c:idx val="3"/>
          <c:order val="3"/>
          <c:tx>
            <c:strRef>
              <c:f>'Data for Graphs'!$K$260</c:f>
              <c:strCache>
                <c:ptCount val="1"/>
                <c:pt idx="0">
                  <c:v>Manzanita Block 7I,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Graphs'!$G$261:$G$267</c:f>
              <c:numCache>
                <c:formatCode>m/d/yyyy</c:formatCode>
                <c:ptCount val="7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40431</c:v>
                </c:pt>
                <c:pt idx="6">
                  <c:v>40438</c:v>
                </c:pt>
              </c:numCache>
            </c:numRef>
          </c:cat>
          <c:val>
            <c:numRef>
              <c:f>'Data for Graphs'!$K$261:$K$267</c:f>
              <c:numCache>
                <c:formatCode>General</c:formatCode>
                <c:ptCount val="7"/>
                <c:pt idx="0">
                  <c:v>73.849999999999994</c:v>
                </c:pt>
                <c:pt idx="1">
                  <c:v>51.45</c:v>
                </c:pt>
                <c:pt idx="2">
                  <c:v>55.65</c:v>
                </c:pt>
                <c:pt idx="3">
                  <c:v>165.9</c:v>
                </c:pt>
                <c:pt idx="4">
                  <c:v>167.3</c:v>
                </c:pt>
                <c:pt idx="5">
                  <c:v>87.5</c:v>
                </c:pt>
                <c:pt idx="6" formatCode="0.00">
                  <c:v>80.5</c:v>
                </c:pt>
              </c:numCache>
            </c:numRef>
          </c:val>
        </c:ser>
        <c:marker val="1"/>
        <c:axId val="71691648"/>
        <c:axId val="71788032"/>
      </c:lineChart>
      <c:dateAx>
        <c:axId val="71691648"/>
        <c:scaling>
          <c:orientation val="minMax"/>
          <c:max val="40694"/>
          <c:min val="4037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788032"/>
        <c:crosses val="autoZero"/>
        <c:auto val="1"/>
        <c:lblOffset val="100"/>
        <c:majorUnit val="15"/>
        <c:majorTimeUnit val="days"/>
      </c:dateAx>
      <c:valAx>
        <c:axId val="71788032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691648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4308100756960714E-2"/>
          <c:y val="9.0889972298155833E-2"/>
          <c:w val="0.9252955421008161"/>
          <c:h val="0.70334883891045263"/>
        </c:manualLayout>
      </c:layout>
      <c:lineChart>
        <c:grouping val="standard"/>
        <c:ser>
          <c:idx val="0"/>
          <c:order val="0"/>
          <c:tx>
            <c:strRef>
              <c:f>'Data for Graphs'!$H$269</c:f>
              <c:strCache>
                <c:ptCount val="1"/>
                <c:pt idx="0">
                  <c:v>Manzanita Block 7II,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Graphs'!$G$270:$G$277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Graphs'!$H$270:$H$277</c:f>
              <c:numCache>
                <c:formatCode>General</c:formatCode>
                <c:ptCount val="8"/>
                <c:pt idx="0">
                  <c:v>43.75</c:v>
                </c:pt>
                <c:pt idx="1">
                  <c:v>210</c:v>
                </c:pt>
                <c:pt idx="2">
                  <c:v>66.150000000000006</c:v>
                </c:pt>
                <c:pt idx="3">
                  <c:v>302.39999999999998</c:v>
                </c:pt>
                <c:pt idx="5">
                  <c:v>171.5</c:v>
                </c:pt>
                <c:pt idx="6">
                  <c:v>33.25</c:v>
                </c:pt>
                <c:pt idx="7">
                  <c:v>58.1</c:v>
                </c:pt>
              </c:numCache>
            </c:numRef>
          </c:val>
        </c:ser>
        <c:ser>
          <c:idx val="1"/>
          <c:order val="1"/>
          <c:tx>
            <c:strRef>
              <c:f>'Data for Graphs'!$I$269</c:f>
              <c:strCache>
                <c:ptCount val="1"/>
                <c:pt idx="0">
                  <c:v>Manzanita Block 7II,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Graphs'!$G$270:$G$277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Graphs'!$I$270:$I$277</c:f>
              <c:numCache>
                <c:formatCode>General</c:formatCode>
                <c:ptCount val="8"/>
                <c:pt idx="0">
                  <c:v>70.349999999999994</c:v>
                </c:pt>
                <c:pt idx="1">
                  <c:v>218.4</c:v>
                </c:pt>
                <c:pt idx="2">
                  <c:v>48.3</c:v>
                </c:pt>
                <c:pt idx="3">
                  <c:v>57.05</c:v>
                </c:pt>
                <c:pt idx="5">
                  <c:v>146.30000000000001</c:v>
                </c:pt>
                <c:pt idx="6">
                  <c:v>34.65</c:v>
                </c:pt>
                <c:pt idx="7">
                  <c:v>44.1</c:v>
                </c:pt>
              </c:numCache>
            </c:numRef>
          </c:val>
        </c:ser>
        <c:ser>
          <c:idx val="2"/>
          <c:order val="2"/>
          <c:tx>
            <c:strRef>
              <c:f>'Data for Graphs'!$J$269</c:f>
              <c:strCache>
                <c:ptCount val="1"/>
                <c:pt idx="0">
                  <c:v>Manzanita Block 7II,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Graphs'!$G$270:$G$277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Graphs'!$J$270:$J$277</c:f>
              <c:numCache>
                <c:formatCode>General</c:formatCode>
                <c:ptCount val="8"/>
                <c:pt idx="0">
                  <c:v>76.3</c:v>
                </c:pt>
                <c:pt idx="1">
                  <c:v>78.5</c:v>
                </c:pt>
                <c:pt idx="2">
                  <c:v>52.85</c:v>
                </c:pt>
                <c:pt idx="3">
                  <c:v>95.55</c:v>
                </c:pt>
                <c:pt idx="5">
                  <c:v>167.65</c:v>
                </c:pt>
                <c:pt idx="6">
                  <c:v>87.15</c:v>
                </c:pt>
                <c:pt idx="7">
                  <c:v>41.3</c:v>
                </c:pt>
              </c:numCache>
            </c:numRef>
          </c:val>
        </c:ser>
        <c:ser>
          <c:idx val="3"/>
          <c:order val="3"/>
          <c:tx>
            <c:strRef>
              <c:f>'Data for Graphs'!$K$269</c:f>
              <c:strCache>
                <c:ptCount val="1"/>
                <c:pt idx="0">
                  <c:v>Manzanita Block 7II,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Graphs'!$G$270:$G$277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Graphs'!$K$270:$K$277</c:f>
              <c:numCache>
                <c:formatCode>General</c:formatCode>
                <c:ptCount val="8"/>
                <c:pt idx="0">
                  <c:v>87.5</c:v>
                </c:pt>
                <c:pt idx="1">
                  <c:v>53.55</c:v>
                </c:pt>
                <c:pt idx="2">
                  <c:v>51.45</c:v>
                </c:pt>
                <c:pt idx="3">
                  <c:v>63.35</c:v>
                </c:pt>
                <c:pt idx="5">
                  <c:v>72.45</c:v>
                </c:pt>
                <c:pt idx="6">
                  <c:v>284.89999999999998</c:v>
                </c:pt>
                <c:pt idx="7">
                  <c:v>50.05</c:v>
                </c:pt>
              </c:numCache>
            </c:numRef>
          </c:val>
        </c:ser>
        <c:marker val="1"/>
        <c:axId val="71826432"/>
        <c:axId val="71701632"/>
      </c:lineChart>
      <c:dateAx>
        <c:axId val="71826432"/>
        <c:scaling>
          <c:orientation val="minMax"/>
          <c:max val="40694"/>
          <c:min val="4037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701632"/>
        <c:crosses val="autoZero"/>
        <c:auto val="1"/>
        <c:lblOffset val="100"/>
        <c:majorUnit val="15"/>
        <c:majorTimeUnit val="days"/>
      </c:dateAx>
      <c:valAx>
        <c:axId val="71701632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826432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1.0491804279106141E-2"/>
          <c:y val="0.91880936580465877"/>
          <c:w val="0.97578687260729802"/>
          <c:h val="8.1190634195336508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5.716452437589481E-2"/>
          <c:y val="9.5544593966750274E-2"/>
          <c:w val="0.92010832585972657"/>
          <c:h val="0.69605035714040364"/>
        </c:manualLayout>
      </c:layout>
      <c:lineChart>
        <c:grouping val="standard"/>
        <c:ser>
          <c:idx val="0"/>
          <c:order val="0"/>
          <c:tx>
            <c:strRef>
              <c:f>'Data for Graphs'!$B$269</c:f>
              <c:strCache>
                <c:ptCount val="1"/>
                <c:pt idx="0">
                  <c:v>Manzanita Block 7II,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Graphs'!$A$270:$A$277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Graphs'!$B$270:$B$277</c:f>
              <c:numCache>
                <c:formatCode>General</c:formatCode>
                <c:ptCount val="8"/>
                <c:pt idx="0">
                  <c:v>2.19</c:v>
                </c:pt>
                <c:pt idx="1">
                  <c:v>4.68</c:v>
                </c:pt>
                <c:pt idx="2">
                  <c:v>1.47</c:v>
                </c:pt>
                <c:pt idx="3">
                  <c:v>5.04</c:v>
                </c:pt>
                <c:pt idx="5">
                  <c:v>2.46</c:v>
                </c:pt>
                <c:pt idx="6">
                  <c:v>1.1399999999999999</c:v>
                </c:pt>
                <c:pt idx="7">
                  <c:v>1.57</c:v>
                </c:pt>
              </c:numCache>
            </c:numRef>
          </c:val>
        </c:ser>
        <c:ser>
          <c:idx val="1"/>
          <c:order val="1"/>
          <c:tx>
            <c:strRef>
              <c:f>'Data for Graphs'!$C$269</c:f>
              <c:strCache>
                <c:ptCount val="1"/>
                <c:pt idx="0">
                  <c:v>Manzanita Block 7II,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Graphs'!$A$270:$A$277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Graphs'!$C$270:$C$277</c:f>
              <c:numCache>
                <c:formatCode>General</c:formatCode>
                <c:ptCount val="8"/>
                <c:pt idx="0">
                  <c:v>1.33</c:v>
                </c:pt>
                <c:pt idx="1">
                  <c:v>3.08</c:v>
                </c:pt>
                <c:pt idx="2">
                  <c:v>1.0900000000000001</c:v>
                </c:pt>
                <c:pt idx="3">
                  <c:v>1.21</c:v>
                </c:pt>
                <c:pt idx="5">
                  <c:v>2.33</c:v>
                </c:pt>
                <c:pt idx="6">
                  <c:v>1.27</c:v>
                </c:pt>
                <c:pt idx="7">
                  <c:v>6.7</c:v>
                </c:pt>
              </c:numCache>
            </c:numRef>
          </c:val>
        </c:ser>
        <c:ser>
          <c:idx val="2"/>
          <c:order val="2"/>
          <c:tx>
            <c:strRef>
              <c:f>'Data for Graphs'!$D$269</c:f>
              <c:strCache>
                <c:ptCount val="1"/>
                <c:pt idx="0">
                  <c:v>Manzanita Block 7II,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Graphs'!$A$270:$A$277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Graphs'!$D$270:$D$277</c:f>
              <c:numCache>
                <c:formatCode>General</c:formatCode>
                <c:ptCount val="8"/>
                <c:pt idx="0">
                  <c:v>1.67</c:v>
                </c:pt>
                <c:pt idx="1">
                  <c:v>1.2</c:v>
                </c:pt>
                <c:pt idx="2">
                  <c:v>1.2</c:v>
                </c:pt>
                <c:pt idx="3">
                  <c:v>1.86</c:v>
                </c:pt>
                <c:pt idx="5">
                  <c:v>2.64</c:v>
                </c:pt>
                <c:pt idx="6">
                  <c:v>1.82</c:v>
                </c:pt>
                <c:pt idx="7">
                  <c:v>1.31</c:v>
                </c:pt>
              </c:numCache>
            </c:numRef>
          </c:val>
        </c:ser>
        <c:ser>
          <c:idx val="3"/>
          <c:order val="3"/>
          <c:tx>
            <c:strRef>
              <c:f>'Data for Graphs'!$E$269</c:f>
              <c:strCache>
                <c:ptCount val="1"/>
                <c:pt idx="0">
                  <c:v>Manzanita Block 7II,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Graphs'!$A$270:$A$277</c:f>
              <c:numCache>
                <c:formatCode>m/d/yyyy</c:formatCode>
                <c:ptCount val="8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40417</c:v>
                </c:pt>
                <c:pt idx="5">
                  <c:v>40422</c:v>
                </c:pt>
                <c:pt idx="6">
                  <c:v>40431</c:v>
                </c:pt>
                <c:pt idx="7">
                  <c:v>40438</c:v>
                </c:pt>
              </c:numCache>
            </c:numRef>
          </c:cat>
          <c:val>
            <c:numRef>
              <c:f>'Data for Graphs'!$E$270:$E$277</c:f>
              <c:numCache>
                <c:formatCode>General</c:formatCode>
                <c:ptCount val="8"/>
                <c:pt idx="0">
                  <c:v>1.19</c:v>
                </c:pt>
                <c:pt idx="1">
                  <c:v>1.02</c:v>
                </c:pt>
                <c:pt idx="2">
                  <c:v>1.17</c:v>
                </c:pt>
                <c:pt idx="3">
                  <c:v>1.32</c:v>
                </c:pt>
                <c:pt idx="5">
                  <c:v>1.17</c:v>
                </c:pt>
                <c:pt idx="6">
                  <c:v>3.34</c:v>
                </c:pt>
                <c:pt idx="7">
                  <c:v>1.27</c:v>
                </c:pt>
              </c:numCache>
            </c:numRef>
          </c:val>
        </c:ser>
        <c:marker val="1"/>
        <c:axId val="71760512"/>
        <c:axId val="71836416"/>
      </c:lineChart>
      <c:dateAx>
        <c:axId val="71760512"/>
        <c:scaling>
          <c:orientation val="minMax"/>
          <c:max val="40694"/>
          <c:min val="4037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836416"/>
        <c:crosses val="autoZero"/>
        <c:auto val="1"/>
        <c:lblOffset val="100"/>
        <c:majorUnit val="15"/>
        <c:majorTimeUnit val="days"/>
      </c:dateAx>
      <c:valAx>
        <c:axId val="71836416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760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611013532538013E-2"/>
          <c:y val="0.91401356536256351"/>
          <c:w val="0.96822880622614926"/>
          <c:h val="7.2560964759199084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279607906154556E-2"/>
          <c:y val="9.1069437340671647E-2"/>
          <c:w val="0.93955931222883116"/>
          <c:h val="0.70156484246479911"/>
        </c:manualLayout>
      </c:layout>
      <c:lineChart>
        <c:grouping val="standard"/>
        <c:ser>
          <c:idx val="0"/>
          <c:order val="0"/>
          <c:tx>
            <c:strRef>
              <c:f>'Data for Graphs'!$B$236</c:f>
              <c:strCache>
                <c:ptCount val="1"/>
                <c:pt idx="0">
                  <c:v>Manzanita Block 7A,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Graphs'!$A$237:$A$246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Graphs'!$B$237:$B$246</c:f>
              <c:numCache>
                <c:formatCode>General</c:formatCode>
                <c:ptCount val="10"/>
                <c:pt idx="0">
                  <c:v>2.95</c:v>
                </c:pt>
                <c:pt idx="1">
                  <c:v>1.29</c:v>
                </c:pt>
                <c:pt idx="3">
                  <c:v>4.3600000000000003</c:v>
                </c:pt>
                <c:pt idx="4">
                  <c:v>2.5099999999999998</c:v>
                </c:pt>
                <c:pt idx="5">
                  <c:v>4.25</c:v>
                </c:pt>
                <c:pt idx="6">
                  <c:v>7.34</c:v>
                </c:pt>
                <c:pt idx="7">
                  <c:v>4.18</c:v>
                </c:pt>
                <c:pt idx="8">
                  <c:v>1.56</c:v>
                </c:pt>
                <c:pt idx="9">
                  <c:v>3.58</c:v>
                </c:pt>
              </c:numCache>
            </c:numRef>
          </c:val>
        </c:ser>
        <c:ser>
          <c:idx val="1"/>
          <c:order val="1"/>
          <c:tx>
            <c:strRef>
              <c:f>'Data for Graphs'!$C$236</c:f>
              <c:strCache>
                <c:ptCount val="1"/>
                <c:pt idx="0">
                  <c:v>Manzanita Block 7A,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Graphs'!$A$237:$A$246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Graphs'!$C$237:$C$246</c:f>
              <c:numCache>
                <c:formatCode>General</c:formatCode>
                <c:ptCount val="10"/>
                <c:pt idx="0">
                  <c:v>5.34</c:v>
                </c:pt>
                <c:pt idx="1">
                  <c:v>2.74</c:v>
                </c:pt>
                <c:pt idx="3">
                  <c:v>1.77</c:v>
                </c:pt>
                <c:pt idx="4">
                  <c:v>2.39</c:v>
                </c:pt>
                <c:pt idx="5">
                  <c:v>3.62</c:v>
                </c:pt>
                <c:pt idx="6">
                  <c:v>11.2</c:v>
                </c:pt>
                <c:pt idx="7">
                  <c:v>6.53</c:v>
                </c:pt>
                <c:pt idx="8">
                  <c:v>0.8</c:v>
                </c:pt>
                <c:pt idx="9">
                  <c:v>4.32</c:v>
                </c:pt>
              </c:numCache>
            </c:numRef>
          </c:val>
        </c:ser>
        <c:ser>
          <c:idx val="2"/>
          <c:order val="2"/>
          <c:tx>
            <c:strRef>
              <c:f>'Data for Graphs'!$D$236</c:f>
              <c:strCache>
                <c:ptCount val="1"/>
                <c:pt idx="0">
                  <c:v>Manzanita Block 7A,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Graphs'!$A$237:$A$246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Graphs'!$D$237:$D$246</c:f>
              <c:numCache>
                <c:formatCode>General</c:formatCode>
                <c:ptCount val="10"/>
                <c:pt idx="0">
                  <c:v>2.35</c:v>
                </c:pt>
                <c:pt idx="1">
                  <c:v>4.47</c:v>
                </c:pt>
                <c:pt idx="3">
                  <c:v>1.04</c:v>
                </c:pt>
                <c:pt idx="4">
                  <c:v>1.37</c:v>
                </c:pt>
                <c:pt idx="5">
                  <c:v>1.34</c:v>
                </c:pt>
                <c:pt idx="6">
                  <c:v>4.1100000000000003</c:v>
                </c:pt>
                <c:pt idx="7">
                  <c:v>1.84</c:v>
                </c:pt>
                <c:pt idx="8">
                  <c:v>0.78</c:v>
                </c:pt>
                <c:pt idx="9">
                  <c:v>1.32</c:v>
                </c:pt>
              </c:numCache>
            </c:numRef>
          </c:val>
        </c:ser>
        <c:ser>
          <c:idx val="3"/>
          <c:order val="3"/>
          <c:tx>
            <c:strRef>
              <c:f>'Data for Graphs'!$E$236</c:f>
              <c:strCache>
                <c:ptCount val="1"/>
                <c:pt idx="0">
                  <c:v>Manzanita Block 7A,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Graphs'!$A$237:$A$246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Graphs'!$E$237:$E$246</c:f>
              <c:numCache>
                <c:formatCode>General</c:formatCode>
                <c:ptCount val="10"/>
                <c:pt idx="0">
                  <c:v>1.19</c:v>
                </c:pt>
                <c:pt idx="1">
                  <c:v>1.35</c:v>
                </c:pt>
                <c:pt idx="3">
                  <c:v>1.05</c:v>
                </c:pt>
                <c:pt idx="4">
                  <c:v>1.43</c:v>
                </c:pt>
                <c:pt idx="6">
                  <c:v>2.2400000000000002</c:v>
                </c:pt>
                <c:pt idx="7">
                  <c:v>1.38</c:v>
                </c:pt>
              </c:numCache>
            </c:numRef>
          </c:val>
        </c:ser>
        <c:marker val="1"/>
        <c:axId val="71870720"/>
        <c:axId val="71885184"/>
      </c:lineChart>
      <c:dateAx>
        <c:axId val="71870720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885184"/>
        <c:crosses val="autoZero"/>
        <c:auto val="1"/>
        <c:lblOffset val="100"/>
        <c:majorUnit val="15"/>
        <c:majorTimeUnit val="days"/>
      </c:dateAx>
      <c:valAx>
        <c:axId val="71885184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87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05269964902651E-3"/>
          <c:y val="0.90969873915104871"/>
          <c:w val="0.99458920222898572"/>
          <c:h val="7.6875790970719629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6.307988685535057E-2"/>
          <c:y val="9.0889972298155833E-2"/>
          <c:w val="0.92140403437035567"/>
          <c:h val="0.70661928831898224"/>
        </c:manualLayout>
      </c:layout>
      <c:lineChart>
        <c:grouping val="standard"/>
        <c:ser>
          <c:idx val="0"/>
          <c:order val="0"/>
          <c:tx>
            <c:strRef>
              <c:f>'Data for Graphs'!$H$236</c:f>
              <c:strCache>
                <c:ptCount val="1"/>
                <c:pt idx="0">
                  <c:v>Manzanita Block 7A,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Graphs'!$G$237:$G$246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Graphs'!$H$237:$H$246</c:f>
              <c:numCache>
                <c:formatCode>General</c:formatCode>
                <c:ptCount val="10"/>
                <c:pt idx="0">
                  <c:v>106.4</c:v>
                </c:pt>
                <c:pt idx="1">
                  <c:v>101.5</c:v>
                </c:pt>
                <c:pt idx="3">
                  <c:v>203</c:v>
                </c:pt>
                <c:pt idx="4">
                  <c:v>153.30000000000001</c:v>
                </c:pt>
                <c:pt idx="5">
                  <c:v>97.65</c:v>
                </c:pt>
                <c:pt idx="6">
                  <c:v>483</c:v>
                </c:pt>
                <c:pt idx="7">
                  <c:v>306.60000000000002</c:v>
                </c:pt>
                <c:pt idx="8">
                  <c:v>80.150000000000006</c:v>
                </c:pt>
                <c:pt idx="9">
                  <c:v>208.6</c:v>
                </c:pt>
              </c:numCache>
            </c:numRef>
          </c:val>
        </c:ser>
        <c:ser>
          <c:idx val="1"/>
          <c:order val="1"/>
          <c:tx>
            <c:strRef>
              <c:f>'Data for Graphs'!$I$236</c:f>
              <c:strCache>
                <c:ptCount val="1"/>
                <c:pt idx="0">
                  <c:v>Manzanita Block 7A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Graphs'!$G$237:$G$246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Graphs'!$I$237:$I$246</c:f>
              <c:numCache>
                <c:formatCode>General</c:formatCode>
                <c:ptCount val="10"/>
                <c:pt idx="0">
                  <c:v>113.4</c:v>
                </c:pt>
                <c:pt idx="1">
                  <c:v>130.9</c:v>
                </c:pt>
                <c:pt idx="3">
                  <c:v>71.75</c:v>
                </c:pt>
                <c:pt idx="4">
                  <c:v>148.05000000000001</c:v>
                </c:pt>
                <c:pt idx="5">
                  <c:v>59.5</c:v>
                </c:pt>
                <c:pt idx="6">
                  <c:v>224.35</c:v>
                </c:pt>
                <c:pt idx="7">
                  <c:v>120.75</c:v>
                </c:pt>
                <c:pt idx="8">
                  <c:v>14.7</c:v>
                </c:pt>
                <c:pt idx="9">
                  <c:v>77</c:v>
                </c:pt>
              </c:numCache>
            </c:numRef>
          </c:val>
        </c:ser>
        <c:ser>
          <c:idx val="2"/>
          <c:order val="2"/>
          <c:tx>
            <c:strRef>
              <c:f>'Data for Graphs'!$J$236</c:f>
              <c:strCache>
                <c:ptCount val="1"/>
                <c:pt idx="0">
                  <c:v>Manzanita Block 7A,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Graphs'!$G$237:$G$246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Graphs'!$J$237:$J$246</c:f>
              <c:numCache>
                <c:formatCode>General</c:formatCode>
                <c:ptCount val="10"/>
                <c:pt idx="0">
                  <c:v>141.75</c:v>
                </c:pt>
                <c:pt idx="1">
                  <c:v>371</c:v>
                </c:pt>
                <c:pt idx="3">
                  <c:v>36.75</c:v>
                </c:pt>
                <c:pt idx="4">
                  <c:v>100.1</c:v>
                </c:pt>
                <c:pt idx="5">
                  <c:v>30.45</c:v>
                </c:pt>
                <c:pt idx="6">
                  <c:v>94.5</c:v>
                </c:pt>
                <c:pt idx="7">
                  <c:v>77.7</c:v>
                </c:pt>
                <c:pt idx="8">
                  <c:v>18.2</c:v>
                </c:pt>
                <c:pt idx="9">
                  <c:v>46.55</c:v>
                </c:pt>
              </c:numCache>
            </c:numRef>
          </c:val>
        </c:ser>
        <c:ser>
          <c:idx val="3"/>
          <c:order val="3"/>
          <c:tx>
            <c:strRef>
              <c:f>'Data for Graphs'!$K$236</c:f>
              <c:strCache>
                <c:ptCount val="1"/>
                <c:pt idx="0">
                  <c:v>Manzanita Block 7A,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Graphs'!$G$237:$G$246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Graphs'!$K$237:$K$246</c:f>
              <c:numCache>
                <c:formatCode>General</c:formatCode>
                <c:ptCount val="10"/>
                <c:pt idx="0">
                  <c:v>54.95</c:v>
                </c:pt>
                <c:pt idx="1">
                  <c:v>89.25</c:v>
                </c:pt>
                <c:pt idx="3">
                  <c:v>40.25</c:v>
                </c:pt>
                <c:pt idx="4">
                  <c:v>80.849999999999994</c:v>
                </c:pt>
                <c:pt idx="6">
                  <c:v>62.3</c:v>
                </c:pt>
                <c:pt idx="7">
                  <c:v>52.85</c:v>
                </c:pt>
              </c:numCache>
            </c:numRef>
          </c:val>
        </c:ser>
        <c:marker val="1"/>
        <c:axId val="71915392"/>
        <c:axId val="71925760"/>
      </c:lineChart>
      <c:dateAx>
        <c:axId val="71915392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925760"/>
        <c:crosses val="autoZero"/>
        <c:auto val="1"/>
        <c:lblOffset val="100"/>
        <c:majorUnit val="15"/>
        <c:majorTimeUnit val="days"/>
      </c:dateAx>
      <c:valAx>
        <c:axId val="71925760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915392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2.705269964902651E-3"/>
          <c:y val="0.9121098592470599"/>
          <c:w val="0.99729473003509761"/>
          <c:h val="7.4491127637733218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5.330391818771503E-2"/>
          <c:y val="9.1069437340671647E-2"/>
          <c:w val="0.93280933114926379"/>
          <c:h val="0.70156484246479911"/>
        </c:manualLayout>
      </c:layout>
      <c:lineChart>
        <c:grouping val="standard"/>
        <c:ser>
          <c:idx val="0"/>
          <c:order val="0"/>
          <c:tx>
            <c:strRef>
              <c:f>'Data for Graphs'!$B$248</c:f>
              <c:strCache>
                <c:ptCount val="1"/>
                <c:pt idx="0">
                  <c:v>Manzanita Block 7B,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Graphs'!$A$249:$A$258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Graphs'!$B$249:$B$258</c:f>
              <c:numCache>
                <c:formatCode>General</c:formatCode>
                <c:ptCount val="10"/>
                <c:pt idx="0">
                  <c:v>4.88</c:v>
                </c:pt>
                <c:pt idx="1">
                  <c:v>6.02</c:v>
                </c:pt>
                <c:pt idx="2">
                  <c:v>4.05</c:v>
                </c:pt>
                <c:pt idx="3">
                  <c:v>4.68</c:v>
                </c:pt>
                <c:pt idx="4">
                  <c:v>2.48</c:v>
                </c:pt>
                <c:pt idx="5">
                  <c:v>7.09</c:v>
                </c:pt>
                <c:pt idx="6">
                  <c:v>5.56</c:v>
                </c:pt>
                <c:pt idx="7">
                  <c:v>4.84</c:v>
                </c:pt>
                <c:pt idx="8">
                  <c:v>0.39</c:v>
                </c:pt>
                <c:pt idx="9">
                  <c:v>6.19</c:v>
                </c:pt>
              </c:numCache>
            </c:numRef>
          </c:val>
        </c:ser>
        <c:ser>
          <c:idx val="1"/>
          <c:order val="1"/>
          <c:tx>
            <c:strRef>
              <c:f>'Data for Graphs'!$C$248</c:f>
              <c:strCache>
                <c:ptCount val="1"/>
                <c:pt idx="0">
                  <c:v>Manzanita Block 7B,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Graphs'!$A$249:$A$258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Graphs'!$C$249:$C$258</c:f>
              <c:numCache>
                <c:formatCode>General</c:formatCode>
                <c:ptCount val="10"/>
                <c:pt idx="0">
                  <c:v>3.22</c:v>
                </c:pt>
                <c:pt idx="1">
                  <c:v>4.63</c:v>
                </c:pt>
                <c:pt idx="2">
                  <c:v>1.92</c:v>
                </c:pt>
                <c:pt idx="3">
                  <c:v>3.33</c:v>
                </c:pt>
                <c:pt idx="4">
                  <c:v>1.18</c:v>
                </c:pt>
                <c:pt idx="5">
                  <c:v>4.72</c:v>
                </c:pt>
                <c:pt idx="6">
                  <c:v>5.76</c:v>
                </c:pt>
                <c:pt idx="7">
                  <c:v>4.99</c:v>
                </c:pt>
                <c:pt idx="8">
                  <c:v>0.91</c:v>
                </c:pt>
                <c:pt idx="9">
                  <c:v>2.78</c:v>
                </c:pt>
              </c:numCache>
            </c:numRef>
          </c:val>
        </c:ser>
        <c:ser>
          <c:idx val="2"/>
          <c:order val="2"/>
          <c:tx>
            <c:strRef>
              <c:f>'Data for Graphs'!$D$248</c:f>
              <c:strCache>
                <c:ptCount val="1"/>
                <c:pt idx="0">
                  <c:v>Manzanita Block 7B,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Graphs'!$A$249:$A$258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Graphs'!$D$249:$D$258</c:f>
              <c:numCache>
                <c:formatCode>General</c:formatCode>
                <c:ptCount val="10"/>
                <c:pt idx="0">
                  <c:v>3.59</c:v>
                </c:pt>
                <c:pt idx="1">
                  <c:v>3.67</c:v>
                </c:pt>
                <c:pt idx="2">
                  <c:v>1.96</c:v>
                </c:pt>
                <c:pt idx="3">
                  <c:v>2.11</c:v>
                </c:pt>
                <c:pt idx="4">
                  <c:v>1.1599999999999999</c:v>
                </c:pt>
                <c:pt idx="5">
                  <c:v>3.68</c:v>
                </c:pt>
                <c:pt idx="6">
                  <c:v>4.63</c:v>
                </c:pt>
                <c:pt idx="7">
                  <c:v>1.9</c:v>
                </c:pt>
                <c:pt idx="8">
                  <c:v>0.68</c:v>
                </c:pt>
                <c:pt idx="9">
                  <c:v>1.73</c:v>
                </c:pt>
              </c:numCache>
            </c:numRef>
          </c:val>
        </c:ser>
        <c:ser>
          <c:idx val="3"/>
          <c:order val="3"/>
          <c:tx>
            <c:strRef>
              <c:f>'Data for Graphs'!$E$248</c:f>
              <c:strCache>
                <c:ptCount val="1"/>
                <c:pt idx="0">
                  <c:v>Manzanita Block 7B,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Graphs'!$A$249:$A$258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Graphs'!$E$249:$E$258</c:f>
              <c:numCache>
                <c:formatCode>General</c:formatCode>
                <c:ptCount val="10"/>
                <c:pt idx="0">
                  <c:v>1.41</c:v>
                </c:pt>
                <c:pt idx="1">
                  <c:v>2.23</c:v>
                </c:pt>
                <c:pt idx="2">
                  <c:v>1.58</c:v>
                </c:pt>
                <c:pt idx="3">
                  <c:v>1.26</c:v>
                </c:pt>
                <c:pt idx="4">
                  <c:v>1.25</c:v>
                </c:pt>
                <c:pt idx="6">
                  <c:v>2.4</c:v>
                </c:pt>
                <c:pt idx="7">
                  <c:v>2.2999999999999998</c:v>
                </c:pt>
              </c:numCache>
            </c:numRef>
          </c:val>
        </c:ser>
        <c:marker val="1"/>
        <c:axId val="72037888"/>
        <c:axId val="72039808"/>
      </c:lineChart>
      <c:dateAx>
        <c:axId val="72037888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039808"/>
        <c:crosses val="autoZero"/>
        <c:auto val="1"/>
        <c:lblOffset val="100"/>
        <c:majorUnit val="15"/>
        <c:majorTimeUnit val="days"/>
      </c:dateAx>
      <c:valAx>
        <c:axId val="7203980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037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429659371135641E-2"/>
          <c:y val="0.91417389577712549"/>
          <c:w val="0.97968984796651271"/>
          <c:h val="7.2400634344642972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6.2909492259524039E-2"/>
          <c:y val="9.0889972298155833E-2"/>
          <c:w val="0.9266222821452591"/>
          <c:h val="0.70438611946644458"/>
        </c:manualLayout>
      </c:layout>
      <c:lineChart>
        <c:grouping val="standard"/>
        <c:ser>
          <c:idx val="0"/>
          <c:order val="0"/>
          <c:tx>
            <c:strRef>
              <c:f>'Data for Graphs'!$H$248</c:f>
              <c:strCache>
                <c:ptCount val="1"/>
                <c:pt idx="0">
                  <c:v>Manzanita Block 7B,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Graphs'!$G$249:$G$258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Graphs'!$H$249:$H$258</c:f>
              <c:numCache>
                <c:formatCode>General</c:formatCode>
                <c:ptCount val="10"/>
                <c:pt idx="0">
                  <c:v>242.55</c:v>
                </c:pt>
                <c:pt idx="1">
                  <c:v>682.5</c:v>
                </c:pt>
                <c:pt idx="2">
                  <c:v>188.3</c:v>
                </c:pt>
                <c:pt idx="3">
                  <c:v>212.1</c:v>
                </c:pt>
                <c:pt idx="4">
                  <c:v>170.45</c:v>
                </c:pt>
                <c:pt idx="5">
                  <c:v>514.5</c:v>
                </c:pt>
                <c:pt idx="6">
                  <c:v>303.60000000000002</c:v>
                </c:pt>
                <c:pt idx="7">
                  <c:v>249.55</c:v>
                </c:pt>
                <c:pt idx="8">
                  <c:v>7.7</c:v>
                </c:pt>
                <c:pt idx="9">
                  <c:v>190.75</c:v>
                </c:pt>
              </c:numCache>
            </c:numRef>
          </c:val>
        </c:ser>
        <c:ser>
          <c:idx val="1"/>
          <c:order val="1"/>
          <c:tx>
            <c:strRef>
              <c:f>'Data for Graphs'!$I$248</c:f>
              <c:strCache>
                <c:ptCount val="1"/>
                <c:pt idx="0">
                  <c:v>Manzanita Block 7B,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Graphs'!$G$249:$G$258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Graphs'!$I$249:$I$258</c:f>
              <c:numCache>
                <c:formatCode>General</c:formatCode>
                <c:ptCount val="10"/>
                <c:pt idx="0">
                  <c:v>118.3</c:v>
                </c:pt>
                <c:pt idx="1">
                  <c:v>409.5</c:v>
                </c:pt>
                <c:pt idx="2">
                  <c:v>97.3</c:v>
                </c:pt>
                <c:pt idx="3">
                  <c:v>156.80000000000001</c:v>
                </c:pt>
                <c:pt idx="4">
                  <c:v>60.9</c:v>
                </c:pt>
                <c:pt idx="5">
                  <c:v>113.4</c:v>
                </c:pt>
                <c:pt idx="6">
                  <c:v>348.25</c:v>
                </c:pt>
                <c:pt idx="7">
                  <c:v>233.8</c:v>
                </c:pt>
                <c:pt idx="8">
                  <c:v>16.45</c:v>
                </c:pt>
                <c:pt idx="9">
                  <c:v>165.9</c:v>
                </c:pt>
              </c:numCache>
            </c:numRef>
          </c:val>
        </c:ser>
        <c:ser>
          <c:idx val="2"/>
          <c:order val="2"/>
          <c:tx>
            <c:strRef>
              <c:f>'Data for Graphs'!$J$248</c:f>
              <c:strCache>
                <c:ptCount val="1"/>
                <c:pt idx="0">
                  <c:v>Manzanita Block 7B,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Graphs'!$G$249:$G$258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Graphs'!$J$249:$J$258</c:f>
              <c:numCache>
                <c:formatCode>General</c:formatCode>
                <c:ptCount val="10"/>
                <c:pt idx="0">
                  <c:v>219.1</c:v>
                </c:pt>
                <c:pt idx="1">
                  <c:v>232.4</c:v>
                </c:pt>
                <c:pt idx="2">
                  <c:v>92.5</c:v>
                </c:pt>
                <c:pt idx="3">
                  <c:v>94.85</c:v>
                </c:pt>
                <c:pt idx="4">
                  <c:v>58.45</c:v>
                </c:pt>
                <c:pt idx="5">
                  <c:v>33.950000000000003</c:v>
                </c:pt>
                <c:pt idx="6">
                  <c:v>307.64999999999998</c:v>
                </c:pt>
                <c:pt idx="7">
                  <c:v>72.099999999999994</c:v>
                </c:pt>
                <c:pt idx="8">
                  <c:v>5.25</c:v>
                </c:pt>
                <c:pt idx="9">
                  <c:v>97.65</c:v>
                </c:pt>
              </c:numCache>
            </c:numRef>
          </c:val>
        </c:ser>
        <c:ser>
          <c:idx val="3"/>
          <c:order val="3"/>
          <c:tx>
            <c:strRef>
              <c:f>'Data for Graphs'!$K$248</c:f>
              <c:strCache>
                <c:ptCount val="1"/>
                <c:pt idx="0">
                  <c:v>Manzanita Block 7B,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Graphs'!$G$249:$G$258</c:f>
              <c:numCache>
                <c:formatCode>m/d/yyyy</c:formatCode>
                <c:ptCount val="10"/>
                <c:pt idx="0">
                  <c:v>40379</c:v>
                </c:pt>
                <c:pt idx="1">
                  <c:v>40389</c:v>
                </c:pt>
                <c:pt idx="2">
                  <c:v>40401</c:v>
                </c:pt>
                <c:pt idx="3">
                  <c:v>40410</c:v>
                </c:pt>
                <c:pt idx="4">
                  <c:v>40422</c:v>
                </c:pt>
                <c:pt idx="5">
                  <c:v>40549</c:v>
                </c:pt>
                <c:pt idx="6">
                  <c:v>40566</c:v>
                </c:pt>
                <c:pt idx="7">
                  <c:v>40586</c:v>
                </c:pt>
                <c:pt idx="8">
                  <c:v>40632</c:v>
                </c:pt>
                <c:pt idx="9">
                  <c:v>40673</c:v>
                </c:pt>
              </c:numCache>
            </c:numRef>
          </c:cat>
          <c:val>
            <c:numRef>
              <c:f>'Data for Graphs'!$K$249:$K$258</c:f>
              <c:numCache>
                <c:formatCode>General</c:formatCode>
                <c:ptCount val="10"/>
                <c:pt idx="0">
                  <c:v>103.95</c:v>
                </c:pt>
                <c:pt idx="1">
                  <c:v>193.2</c:v>
                </c:pt>
                <c:pt idx="2">
                  <c:v>78.400000000000006</c:v>
                </c:pt>
                <c:pt idx="3">
                  <c:v>63.7</c:v>
                </c:pt>
                <c:pt idx="4">
                  <c:v>67.900000000000006</c:v>
                </c:pt>
                <c:pt idx="6">
                  <c:v>108.85</c:v>
                </c:pt>
                <c:pt idx="7">
                  <c:v>116.2</c:v>
                </c:pt>
              </c:numCache>
            </c:numRef>
          </c:val>
        </c:ser>
        <c:marker val="1"/>
        <c:axId val="71964160"/>
        <c:axId val="71965696"/>
      </c:lineChart>
      <c:dateAx>
        <c:axId val="71964160"/>
        <c:scaling>
          <c:orientation val="minMax"/>
          <c:max val="40694"/>
          <c:min val="4036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965696"/>
        <c:crosses val="autoZero"/>
        <c:auto val="1"/>
        <c:lblOffset val="100"/>
        <c:majorUnit val="15"/>
        <c:majorTimeUnit val="days"/>
      </c:dateAx>
      <c:valAx>
        <c:axId val="71965696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1964160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6.8804926623549064E-3"/>
          <c:y val="0.9121098592470599"/>
          <c:w val="0.98296443132089983"/>
          <c:h val="7.4491127637733218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0952E-2"/>
          <c:w val="0.93338211382113756"/>
          <c:h val="0.74138469753542124"/>
        </c:manualLayout>
      </c:layout>
      <c:lineChart>
        <c:grouping val="standard"/>
        <c:ser>
          <c:idx val="0"/>
          <c:order val="0"/>
          <c:tx>
            <c:strRef>
              <c:f>'Data for Graphs'!$B$279</c:f>
              <c:strCache>
                <c:ptCount val="1"/>
                <c:pt idx="0">
                  <c:v>Main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Graphs'!$A$280:$A$285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Graphs'!$B$280:$B$285</c:f>
              <c:numCache>
                <c:formatCode>General</c:formatCode>
                <c:ptCount val="6"/>
                <c:pt idx="0">
                  <c:v>1.28</c:v>
                </c:pt>
                <c:pt idx="1">
                  <c:v>2.98</c:v>
                </c:pt>
                <c:pt idx="2">
                  <c:v>4.12</c:v>
                </c:pt>
                <c:pt idx="3">
                  <c:v>2.4900000000000002</c:v>
                </c:pt>
                <c:pt idx="4">
                  <c:v>0.76</c:v>
                </c:pt>
                <c:pt idx="5">
                  <c:v>3.4</c:v>
                </c:pt>
              </c:numCache>
            </c:numRef>
          </c:val>
        </c:ser>
        <c:ser>
          <c:idx val="1"/>
          <c:order val="1"/>
          <c:tx>
            <c:strRef>
              <c:f>'Data for Graphs'!$C$279</c:f>
              <c:strCache>
                <c:ptCount val="1"/>
                <c:pt idx="0">
                  <c:v>Main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Graphs'!$A$280:$A$285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Graphs'!$C$280:$C$285</c:f>
              <c:numCache>
                <c:formatCode>General</c:formatCode>
                <c:ptCount val="6"/>
                <c:pt idx="0">
                  <c:v>2.1800000000000002</c:v>
                </c:pt>
                <c:pt idx="1">
                  <c:v>16.100000000000001</c:v>
                </c:pt>
                <c:pt idx="2">
                  <c:v>8.42</c:v>
                </c:pt>
                <c:pt idx="3">
                  <c:v>3.04</c:v>
                </c:pt>
                <c:pt idx="4">
                  <c:v>0.82</c:v>
                </c:pt>
                <c:pt idx="5">
                  <c:v>1.84</c:v>
                </c:pt>
              </c:numCache>
            </c:numRef>
          </c:val>
        </c:ser>
        <c:ser>
          <c:idx val="2"/>
          <c:order val="2"/>
          <c:tx>
            <c:strRef>
              <c:f>'Data for Graphs'!$D$279</c:f>
              <c:strCache>
                <c:ptCount val="1"/>
                <c:pt idx="0">
                  <c:v>Main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Graphs'!$A$280:$A$285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Graphs'!$D$280:$D$285</c:f>
              <c:numCache>
                <c:formatCode>General</c:formatCode>
                <c:ptCount val="6"/>
                <c:pt idx="0">
                  <c:v>2.31</c:v>
                </c:pt>
                <c:pt idx="1">
                  <c:v>6.02</c:v>
                </c:pt>
                <c:pt idx="2">
                  <c:v>3.16</c:v>
                </c:pt>
                <c:pt idx="3">
                  <c:v>3.87</c:v>
                </c:pt>
                <c:pt idx="4">
                  <c:v>0.69</c:v>
                </c:pt>
                <c:pt idx="5">
                  <c:v>1.82</c:v>
                </c:pt>
              </c:numCache>
            </c:numRef>
          </c:val>
        </c:ser>
        <c:ser>
          <c:idx val="3"/>
          <c:order val="3"/>
          <c:tx>
            <c:strRef>
              <c:f>'Data for Graphs'!$E$279</c:f>
              <c:strCache>
                <c:ptCount val="1"/>
                <c:pt idx="0">
                  <c:v>Main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Graphs'!$A$280:$A$285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Graphs'!$E$280:$E$285</c:f>
              <c:numCache>
                <c:formatCode>General</c:formatCode>
                <c:ptCount val="6"/>
                <c:pt idx="1">
                  <c:v>2.08</c:v>
                </c:pt>
                <c:pt idx="2">
                  <c:v>1.98</c:v>
                </c:pt>
              </c:numCache>
            </c:numRef>
          </c:val>
        </c:ser>
        <c:marker val="1"/>
        <c:axId val="72168576"/>
        <c:axId val="72170496"/>
      </c:lineChart>
      <c:dateAx>
        <c:axId val="72168576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170496"/>
        <c:crosses val="autoZero"/>
        <c:auto val="1"/>
        <c:lblOffset val="100"/>
        <c:majorUnit val="7"/>
        <c:majorTimeUnit val="days"/>
      </c:dateAx>
      <c:valAx>
        <c:axId val="72170496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168576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Graphs'!$H$279</c:f>
              <c:strCache>
                <c:ptCount val="1"/>
                <c:pt idx="0">
                  <c:v>Main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Graphs'!$G$280:$G$285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Graphs'!$H$280:$H$285</c:f>
              <c:numCache>
                <c:formatCode>General</c:formatCode>
                <c:ptCount val="6"/>
                <c:pt idx="0">
                  <c:v>9.8000000000000007</c:v>
                </c:pt>
                <c:pt idx="1">
                  <c:v>62.65</c:v>
                </c:pt>
                <c:pt idx="2">
                  <c:v>97.3</c:v>
                </c:pt>
                <c:pt idx="3">
                  <c:v>34.299999999999997</c:v>
                </c:pt>
                <c:pt idx="4">
                  <c:v>7.7</c:v>
                </c:pt>
                <c:pt idx="5">
                  <c:v>86.8</c:v>
                </c:pt>
              </c:numCache>
            </c:numRef>
          </c:val>
        </c:ser>
        <c:ser>
          <c:idx val="1"/>
          <c:order val="1"/>
          <c:tx>
            <c:strRef>
              <c:f>'Data for Graphs'!$I$279</c:f>
              <c:strCache>
                <c:ptCount val="1"/>
                <c:pt idx="0">
                  <c:v>Main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Graphs'!$G$280:$G$285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Graphs'!$I$280:$I$285</c:f>
              <c:numCache>
                <c:formatCode>General</c:formatCode>
                <c:ptCount val="6"/>
                <c:pt idx="0">
                  <c:v>5.25</c:v>
                </c:pt>
                <c:pt idx="1">
                  <c:v>75.599999999999994</c:v>
                </c:pt>
                <c:pt idx="2">
                  <c:v>71.05</c:v>
                </c:pt>
                <c:pt idx="3">
                  <c:v>43.4</c:v>
                </c:pt>
                <c:pt idx="4">
                  <c:v>11.9</c:v>
                </c:pt>
                <c:pt idx="5">
                  <c:v>63.7</c:v>
                </c:pt>
              </c:numCache>
            </c:numRef>
          </c:val>
        </c:ser>
        <c:ser>
          <c:idx val="2"/>
          <c:order val="2"/>
          <c:tx>
            <c:strRef>
              <c:f>'Data for Graphs'!$J$279</c:f>
              <c:strCache>
                <c:ptCount val="1"/>
                <c:pt idx="0">
                  <c:v>Main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Graphs'!$G$280:$G$285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Graphs'!$J$280:$J$285</c:f>
              <c:numCache>
                <c:formatCode>General</c:formatCode>
                <c:ptCount val="6"/>
                <c:pt idx="0">
                  <c:v>3.85</c:v>
                </c:pt>
                <c:pt idx="1">
                  <c:v>66.150000000000006</c:v>
                </c:pt>
                <c:pt idx="2">
                  <c:v>59.15</c:v>
                </c:pt>
                <c:pt idx="3">
                  <c:v>57.4</c:v>
                </c:pt>
                <c:pt idx="4">
                  <c:v>24.5</c:v>
                </c:pt>
                <c:pt idx="5">
                  <c:v>53.9</c:v>
                </c:pt>
              </c:numCache>
            </c:numRef>
          </c:val>
        </c:ser>
        <c:ser>
          <c:idx val="3"/>
          <c:order val="3"/>
          <c:tx>
            <c:strRef>
              <c:f>'Data for Graphs'!$K$279</c:f>
              <c:strCache>
                <c:ptCount val="1"/>
                <c:pt idx="0">
                  <c:v>Main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Graphs'!$G$280:$G$285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Graphs'!$K$280:$K$285</c:f>
              <c:numCache>
                <c:formatCode>General</c:formatCode>
                <c:ptCount val="6"/>
                <c:pt idx="1">
                  <c:v>33.950000000000003</c:v>
                </c:pt>
                <c:pt idx="2">
                  <c:v>47.25</c:v>
                </c:pt>
              </c:numCache>
            </c:numRef>
          </c:val>
        </c:ser>
        <c:marker val="1"/>
        <c:axId val="72217344"/>
        <c:axId val="72219264"/>
      </c:lineChart>
      <c:dateAx>
        <c:axId val="72217344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219264"/>
        <c:crosses val="autoZero"/>
        <c:auto val="1"/>
        <c:lblOffset val="100"/>
        <c:majorUnit val="7"/>
        <c:majorTimeUnit val="days"/>
      </c:dateAx>
      <c:valAx>
        <c:axId val="7221926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217344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1022E-2"/>
          <c:w val="0.93338211382113756"/>
          <c:h val="0.74138469753542158"/>
        </c:manualLayout>
      </c:layout>
      <c:lineChart>
        <c:grouping val="standard"/>
        <c:ser>
          <c:idx val="0"/>
          <c:order val="0"/>
          <c:tx>
            <c:strRef>
              <c:f>'Data for Graphs'!$B$287</c:f>
              <c:strCache>
                <c:ptCount val="1"/>
                <c:pt idx="0">
                  <c:v>Main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Graphs'!$A$288:$A$293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Graphs'!$B$288:$B$293</c:f>
              <c:numCache>
                <c:formatCode>General</c:formatCode>
                <c:ptCount val="6"/>
                <c:pt idx="0">
                  <c:v>2.93</c:v>
                </c:pt>
                <c:pt idx="1">
                  <c:v>3.32</c:v>
                </c:pt>
                <c:pt idx="2">
                  <c:v>3.53</c:v>
                </c:pt>
                <c:pt idx="3">
                  <c:v>1.97</c:v>
                </c:pt>
                <c:pt idx="4">
                  <c:v>1.4</c:v>
                </c:pt>
                <c:pt idx="5">
                  <c:v>4.1500000000000004</c:v>
                </c:pt>
              </c:numCache>
            </c:numRef>
          </c:val>
        </c:ser>
        <c:ser>
          <c:idx val="1"/>
          <c:order val="1"/>
          <c:tx>
            <c:strRef>
              <c:f>'Data for Graphs'!$C$287</c:f>
              <c:strCache>
                <c:ptCount val="1"/>
                <c:pt idx="0">
                  <c:v>Main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Graphs'!$A$288:$A$293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Graphs'!$C$288:$C$293</c:f>
              <c:numCache>
                <c:formatCode>General</c:formatCode>
                <c:ptCount val="6"/>
                <c:pt idx="0">
                  <c:v>3.23</c:v>
                </c:pt>
                <c:pt idx="1">
                  <c:v>3.59</c:v>
                </c:pt>
                <c:pt idx="2">
                  <c:v>3.41</c:v>
                </c:pt>
                <c:pt idx="3">
                  <c:v>16.7</c:v>
                </c:pt>
                <c:pt idx="4">
                  <c:v>0.54</c:v>
                </c:pt>
                <c:pt idx="5">
                  <c:v>5.49</c:v>
                </c:pt>
              </c:numCache>
            </c:numRef>
          </c:val>
        </c:ser>
        <c:ser>
          <c:idx val="2"/>
          <c:order val="2"/>
          <c:tx>
            <c:strRef>
              <c:f>'Data for Graphs'!$D$287</c:f>
              <c:strCache>
                <c:ptCount val="1"/>
                <c:pt idx="0">
                  <c:v>Main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Graphs'!$A$288:$A$293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Graphs'!$D$288:$D$293</c:f>
              <c:numCache>
                <c:formatCode>General</c:formatCode>
                <c:ptCount val="6"/>
                <c:pt idx="0">
                  <c:v>2.67</c:v>
                </c:pt>
                <c:pt idx="1">
                  <c:v>4.26</c:v>
                </c:pt>
                <c:pt idx="2">
                  <c:v>2.64</c:v>
                </c:pt>
                <c:pt idx="3">
                  <c:v>2.41</c:v>
                </c:pt>
                <c:pt idx="4">
                  <c:v>0.84</c:v>
                </c:pt>
                <c:pt idx="5">
                  <c:v>3.67</c:v>
                </c:pt>
              </c:numCache>
            </c:numRef>
          </c:val>
        </c:ser>
        <c:ser>
          <c:idx val="3"/>
          <c:order val="3"/>
          <c:tx>
            <c:strRef>
              <c:f>'Data for Graphs'!$E$287</c:f>
              <c:strCache>
                <c:ptCount val="1"/>
                <c:pt idx="0">
                  <c:v>Main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Graphs'!$A$288:$A$293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Graphs'!$E$288:$E$293</c:f>
              <c:numCache>
                <c:formatCode>General</c:formatCode>
                <c:ptCount val="6"/>
                <c:pt idx="1">
                  <c:v>3.76</c:v>
                </c:pt>
                <c:pt idx="2">
                  <c:v>2.39</c:v>
                </c:pt>
              </c:numCache>
            </c:numRef>
          </c:val>
        </c:ser>
        <c:marker val="1"/>
        <c:axId val="72270208"/>
        <c:axId val="72272128"/>
      </c:lineChart>
      <c:dateAx>
        <c:axId val="72270208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272128"/>
        <c:crosses val="autoZero"/>
        <c:auto val="1"/>
        <c:lblOffset val="100"/>
        <c:majorUnit val="7"/>
        <c:majorTimeUnit val="days"/>
      </c:dateAx>
      <c:valAx>
        <c:axId val="7227212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270208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085864150719415E-2"/>
          <c:y val="8.8377327365938826E-2"/>
          <c:w val="0.92627202816675458"/>
          <c:h val="0.71525091507952665"/>
        </c:manualLayout>
      </c:layout>
      <c:lineChart>
        <c:grouping val="standard"/>
        <c:ser>
          <c:idx val="0"/>
          <c:order val="0"/>
          <c:tx>
            <c:strRef>
              <c:f>'Data for Graphs'!$H$16</c:f>
              <c:strCache>
                <c:ptCount val="1"/>
                <c:pt idx="0">
                  <c:v>Eclipse Block 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Graphs'!$G$17:$G$33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Graphs'!$H$17:$H$33</c:f>
              <c:numCache>
                <c:formatCode>General</c:formatCode>
                <c:ptCount val="17"/>
                <c:pt idx="0">
                  <c:v>71.400000000000006</c:v>
                </c:pt>
                <c:pt idx="1">
                  <c:v>151.19999999999999</c:v>
                </c:pt>
                <c:pt idx="2">
                  <c:v>189</c:v>
                </c:pt>
                <c:pt idx="3">
                  <c:v>206.5</c:v>
                </c:pt>
                <c:pt idx="4">
                  <c:v>283.5</c:v>
                </c:pt>
                <c:pt idx="5">
                  <c:v>294</c:v>
                </c:pt>
                <c:pt idx="6">
                  <c:v>31.5</c:v>
                </c:pt>
                <c:pt idx="7">
                  <c:v>187.6</c:v>
                </c:pt>
                <c:pt idx="8">
                  <c:v>217</c:v>
                </c:pt>
                <c:pt idx="9">
                  <c:v>245</c:v>
                </c:pt>
                <c:pt idx="10">
                  <c:v>177.1</c:v>
                </c:pt>
                <c:pt idx="11">
                  <c:v>220.5</c:v>
                </c:pt>
                <c:pt idx="12">
                  <c:v>80.150000000000006</c:v>
                </c:pt>
                <c:pt idx="13">
                  <c:v>121.8</c:v>
                </c:pt>
                <c:pt idx="14">
                  <c:v>122.85</c:v>
                </c:pt>
                <c:pt idx="15">
                  <c:v>20.3</c:v>
                </c:pt>
                <c:pt idx="16">
                  <c:v>27.65</c:v>
                </c:pt>
              </c:numCache>
            </c:numRef>
          </c:val>
        </c:ser>
        <c:ser>
          <c:idx val="1"/>
          <c:order val="1"/>
          <c:tx>
            <c:strRef>
              <c:f>'Data for Graphs'!$I$16</c:f>
              <c:strCache>
                <c:ptCount val="1"/>
                <c:pt idx="0">
                  <c:v>Eclipse Block 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Graphs'!$G$17:$G$33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Graphs'!$I$17:$I$33</c:f>
              <c:numCache>
                <c:formatCode>General</c:formatCode>
                <c:ptCount val="17"/>
                <c:pt idx="0">
                  <c:v>71.400000000000006</c:v>
                </c:pt>
                <c:pt idx="1">
                  <c:v>137.19999999999999</c:v>
                </c:pt>
                <c:pt idx="2">
                  <c:v>128.80000000000001</c:v>
                </c:pt>
                <c:pt idx="3">
                  <c:v>114.1</c:v>
                </c:pt>
                <c:pt idx="4">
                  <c:v>297.5</c:v>
                </c:pt>
                <c:pt idx="5">
                  <c:v>252</c:v>
                </c:pt>
                <c:pt idx="6">
                  <c:v>196.7</c:v>
                </c:pt>
                <c:pt idx="7">
                  <c:v>201.6</c:v>
                </c:pt>
                <c:pt idx="8">
                  <c:v>187.25</c:v>
                </c:pt>
                <c:pt idx="9">
                  <c:v>147</c:v>
                </c:pt>
                <c:pt idx="10">
                  <c:v>66.150000000000006</c:v>
                </c:pt>
                <c:pt idx="11">
                  <c:v>112.7</c:v>
                </c:pt>
                <c:pt idx="12">
                  <c:v>53.9</c:v>
                </c:pt>
                <c:pt idx="13">
                  <c:v>89.25</c:v>
                </c:pt>
                <c:pt idx="14">
                  <c:v>63.7</c:v>
                </c:pt>
                <c:pt idx="15">
                  <c:v>19.600000000000001</c:v>
                </c:pt>
                <c:pt idx="16">
                  <c:v>44.45</c:v>
                </c:pt>
              </c:numCache>
            </c:numRef>
          </c:val>
        </c:ser>
        <c:ser>
          <c:idx val="2"/>
          <c:order val="2"/>
          <c:tx>
            <c:strRef>
              <c:f>'Data for Graphs'!$J$16</c:f>
              <c:strCache>
                <c:ptCount val="1"/>
                <c:pt idx="0">
                  <c:v>Eclipse Block 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Graphs'!$G$17:$G$33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Graphs'!$J$17:$J$33</c:f>
              <c:numCache>
                <c:formatCode>General</c:formatCode>
                <c:ptCount val="17"/>
                <c:pt idx="0">
                  <c:v>85.4</c:v>
                </c:pt>
                <c:pt idx="1">
                  <c:v>177.8</c:v>
                </c:pt>
                <c:pt idx="2">
                  <c:v>87.5</c:v>
                </c:pt>
                <c:pt idx="3">
                  <c:v>124.6</c:v>
                </c:pt>
                <c:pt idx="4">
                  <c:v>98.7</c:v>
                </c:pt>
                <c:pt idx="5">
                  <c:v>166.25</c:v>
                </c:pt>
                <c:pt idx="6">
                  <c:v>124.6</c:v>
                </c:pt>
                <c:pt idx="7">
                  <c:v>89.6</c:v>
                </c:pt>
                <c:pt idx="8">
                  <c:v>155.75</c:v>
                </c:pt>
                <c:pt idx="9">
                  <c:v>78.75</c:v>
                </c:pt>
                <c:pt idx="10">
                  <c:v>92.75</c:v>
                </c:pt>
                <c:pt idx="11">
                  <c:v>101.5</c:v>
                </c:pt>
                <c:pt idx="12">
                  <c:v>50.75</c:v>
                </c:pt>
                <c:pt idx="13">
                  <c:v>94.5</c:v>
                </c:pt>
                <c:pt idx="14">
                  <c:v>71.75</c:v>
                </c:pt>
                <c:pt idx="15">
                  <c:v>18.899999999999999</c:v>
                </c:pt>
                <c:pt idx="16">
                  <c:v>52.85</c:v>
                </c:pt>
              </c:numCache>
            </c:numRef>
          </c:val>
        </c:ser>
        <c:ser>
          <c:idx val="3"/>
          <c:order val="3"/>
          <c:tx>
            <c:strRef>
              <c:f>'Data for Graphs'!$K$16</c:f>
              <c:strCache>
                <c:ptCount val="1"/>
                <c:pt idx="0">
                  <c:v>Eclipse Block 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Graphs'!$G$17:$G$33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Graphs'!$K$17:$K$33</c:f>
              <c:numCache>
                <c:formatCode>General</c:formatCode>
                <c:ptCount val="17"/>
                <c:pt idx="1">
                  <c:v>126.7</c:v>
                </c:pt>
                <c:pt idx="2">
                  <c:v>262.5</c:v>
                </c:pt>
                <c:pt idx="3">
                  <c:v>250.6</c:v>
                </c:pt>
                <c:pt idx="4">
                  <c:v>97.3</c:v>
                </c:pt>
                <c:pt idx="5">
                  <c:v>178.5</c:v>
                </c:pt>
                <c:pt idx="6">
                  <c:v>306.60000000000002</c:v>
                </c:pt>
                <c:pt idx="7">
                  <c:v>107.1</c:v>
                </c:pt>
                <c:pt idx="8">
                  <c:v>82.6</c:v>
                </c:pt>
                <c:pt idx="9">
                  <c:v>106.75</c:v>
                </c:pt>
                <c:pt idx="10">
                  <c:v>115.5</c:v>
                </c:pt>
                <c:pt idx="11">
                  <c:v>80.5</c:v>
                </c:pt>
                <c:pt idx="12">
                  <c:v>56</c:v>
                </c:pt>
                <c:pt idx="14">
                  <c:v>52.5</c:v>
                </c:pt>
              </c:numCache>
            </c:numRef>
          </c:val>
        </c:ser>
        <c:marker val="1"/>
        <c:axId val="70041984"/>
        <c:axId val="70043904"/>
      </c:lineChart>
      <c:dateAx>
        <c:axId val="7004198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043904"/>
        <c:crosses val="autoZero"/>
        <c:auto val="1"/>
        <c:lblOffset val="100"/>
        <c:majorUnit val="15"/>
        <c:majorTimeUnit val="days"/>
      </c:dateAx>
      <c:valAx>
        <c:axId val="7004390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041984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Graphs'!$H$287</c:f>
              <c:strCache>
                <c:ptCount val="1"/>
                <c:pt idx="0">
                  <c:v>Main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Graphs'!$G$288:$G$293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Graphs'!$H$288:$H$293</c:f>
              <c:numCache>
                <c:formatCode>General</c:formatCode>
                <c:ptCount val="6"/>
                <c:pt idx="0">
                  <c:v>57.4</c:v>
                </c:pt>
                <c:pt idx="1">
                  <c:v>53.9</c:v>
                </c:pt>
                <c:pt idx="2">
                  <c:v>82.6</c:v>
                </c:pt>
                <c:pt idx="3">
                  <c:v>27.65</c:v>
                </c:pt>
                <c:pt idx="4">
                  <c:v>8.4</c:v>
                </c:pt>
                <c:pt idx="5">
                  <c:v>206.5</c:v>
                </c:pt>
              </c:numCache>
            </c:numRef>
          </c:val>
        </c:ser>
        <c:ser>
          <c:idx val="1"/>
          <c:order val="1"/>
          <c:tx>
            <c:strRef>
              <c:f>'Data for Graphs'!$I$287</c:f>
              <c:strCache>
                <c:ptCount val="1"/>
                <c:pt idx="0">
                  <c:v>Main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Graphs'!$G$288:$G$293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Graphs'!$I$288:$I$293</c:f>
              <c:numCache>
                <c:formatCode>General</c:formatCode>
                <c:ptCount val="6"/>
                <c:pt idx="0">
                  <c:v>42.7</c:v>
                </c:pt>
                <c:pt idx="1">
                  <c:v>55.3</c:v>
                </c:pt>
                <c:pt idx="2">
                  <c:v>71.75</c:v>
                </c:pt>
                <c:pt idx="3">
                  <c:v>81.900000000000006</c:v>
                </c:pt>
                <c:pt idx="4">
                  <c:v>8.0500000000000007</c:v>
                </c:pt>
                <c:pt idx="5">
                  <c:v>164.5</c:v>
                </c:pt>
              </c:numCache>
            </c:numRef>
          </c:val>
        </c:ser>
        <c:ser>
          <c:idx val="2"/>
          <c:order val="2"/>
          <c:tx>
            <c:strRef>
              <c:f>'Data for Graphs'!$J$287</c:f>
              <c:strCache>
                <c:ptCount val="1"/>
                <c:pt idx="0">
                  <c:v>Main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Graphs'!$G$288:$G$293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Graphs'!$J$288:$J$293</c:f>
              <c:numCache>
                <c:formatCode>General</c:formatCode>
                <c:ptCount val="6"/>
                <c:pt idx="0">
                  <c:v>33.25</c:v>
                </c:pt>
                <c:pt idx="1">
                  <c:v>36.4</c:v>
                </c:pt>
                <c:pt idx="2">
                  <c:v>57.05</c:v>
                </c:pt>
                <c:pt idx="3">
                  <c:v>57.05</c:v>
                </c:pt>
                <c:pt idx="4">
                  <c:v>28</c:v>
                </c:pt>
                <c:pt idx="5">
                  <c:v>120.4</c:v>
                </c:pt>
              </c:numCache>
            </c:numRef>
          </c:val>
        </c:ser>
        <c:ser>
          <c:idx val="3"/>
          <c:order val="3"/>
          <c:tx>
            <c:strRef>
              <c:f>'Data for Graphs'!$K$287</c:f>
              <c:strCache>
                <c:ptCount val="1"/>
                <c:pt idx="0">
                  <c:v>Main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Graphs'!$G$288:$G$293</c:f>
              <c:numCache>
                <c:formatCode>m/d/yyyy</c:formatCode>
                <c:ptCount val="6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40598</c:v>
                </c:pt>
                <c:pt idx="4">
                  <c:v>40631</c:v>
                </c:pt>
                <c:pt idx="5">
                  <c:v>40672</c:v>
                </c:pt>
              </c:numCache>
            </c:numRef>
          </c:cat>
          <c:val>
            <c:numRef>
              <c:f>'Data for Graphs'!$K$288:$K$293</c:f>
              <c:numCache>
                <c:formatCode>General</c:formatCode>
                <c:ptCount val="6"/>
                <c:pt idx="1">
                  <c:v>29.05</c:v>
                </c:pt>
                <c:pt idx="2">
                  <c:v>35.700000000000003</c:v>
                </c:pt>
              </c:numCache>
            </c:numRef>
          </c:val>
        </c:ser>
        <c:marker val="1"/>
        <c:axId val="72331264"/>
        <c:axId val="72333184"/>
      </c:lineChart>
      <c:dateAx>
        <c:axId val="72331264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333184"/>
        <c:crosses val="autoZero"/>
        <c:auto val="1"/>
        <c:lblOffset val="100"/>
        <c:majorUnit val="7"/>
        <c:majorTimeUnit val="days"/>
      </c:dateAx>
      <c:valAx>
        <c:axId val="72333184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331264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1049E-2"/>
          <c:w val="0.93338211382113756"/>
          <c:h val="0.74138469753542191"/>
        </c:manualLayout>
      </c:layout>
      <c:lineChart>
        <c:grouping val="standard"/>
        <c:ser>
          <c:idx val="0"/>
          <c:order val="0"/>
          <c:tx>
            <c:strRef>
              <c:f>'Data for Graphs'!$B$295</c:f>
              <c:strCache>
                <c:ptCount val="1"/>
                <c:pt idx="0">
                  <c:v>Rice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Graphs'!$A$296:$A$299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Graphs'!$B$296:$B$299</c:f>
              <c:numCache>
                <c:formatCode>General</c:formatCode>
                <c:ptCount val="4"/>
                <c:pt idx="0">
                  <c:v>3.3</c:v>
                </c:pt>
                <c:pt idx="2">
                  <c:v>5.46</c:v>
                </c:pt>
                <c:pt idx="3">
                  <c:v>4.5999999999999996</c:v>
                </c:pt>
              </c:numCache>
            </c:numRef>
          </c:val>
        </c:ser>
        <c:ser>
          <c:idx val="1"/>
          <c:order val="1"/>
          <c:tx>
            <c:strRef>
              <c:f>'Data for Graphs'!$C$295</c:f>
              <c:strCache>
                <c:ptCount val="1"/>
                <c:pt idx="0">
                  <c:v>Rice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Graphs'!$A$296:$A$299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Graphs'!$C$296:$C$299</c:f>
              <c:numCache>
                <c:formatCode>General</c:formatCode>
                <c:ptCount val="4"/>
                <c:pt idx="0">
                  <c:v>3.46</c:v>
                </c:pt>
                <c:pt idx="2">
                  <c:v>5.34</c:v>
                </c:pt>
                <c:pt idx="3">
                  <c:v>4.22</c:v>
                </c:pt>
              </c:numCache>
            </c:numRef>
          </c:val>
        </c:ser>
        <c:ser>
          <c:idx val="2"/>
          <c:order val="2"/>
          <c:tx>
            <c:strRef>
              <c:f>'Data for Graphs'!$D$295</c:f>
              <c:strCache>
                <c:ptCount val="1"/>
                <c:pt idx="0">
                  <c:v>Rice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Graphs'!$A$296:$A$299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Graphs'!$D$296:$D$299</c:f>
              <c:numCache>
                <c:formatCode>General</c:formatCode>
                <c:ptCount val="4"/>
                <c:pt idx="0">
                  <c:v>3.82</c:v>
                </c:pt>
                <c:pt idx="2">
                  <c:v>4.33</c:v>
                </c:pt>
                <c:pt idx="3">
                  <c:v>3.92</c:v>
                </c:pt>
              </c:numCache>
            </c:numRef>
          </c:val>
        </c:ser>
        <c:ser>
          <c:idx val="3"/>
          <c:order val="3"/>
          <c:tx>
            <c:strRef>
              <c:f>'Data for Graphs'!$E$295</c:f>
              <c:strCache>
                <c:ptCount val="1"/>
                <c:pt idx="0">
                  <c:v>Rice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Graphs'!$A$296:$A$299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Graphs'!$E$296:$E$299</c:f>
              <c:numCache>
                <c:formatCode>General</c:formatCode>
                <c:ptCount val="4"/>
                <c:pt idx="2">
                  <c:v>4.4000000000000004</c:v>
                </c:pt>
              </c:numCache>
            </c:numRef>
          </c:val>
        </c:ser>
        <c:marker val="1"/>
        <c:axId val="72413184"/>
        <c:axId val="72415104"/>
      </c:lineChart>
      <c:dateAx>
        <c:axId val="72413184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415104"/>
        <c:crosses val="autoZero"/>
        <c:auto val="1"/>
        <c:lblOffset val="100"/>
        <c:majorUnit val="7"/>
        <c:majorTimeUnit val="days"/>
      </c:dateAx>
      <c:valAx>
        <c:axId val="72415104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413184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Graphs'!$H$295</c:f>
              <c:strCache>
                <c:ptCount val="1"/>
                <c:pt idx="0">
                  <c:v>Rice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Graphs'!$G$296:$G$299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Graphs'!$H$296:$H$299</c:f>
              <c:numCache>
                <c:formatCode>General</c:formatCode>
                <c:ptCount val="4"/>
                <c:pt idx="0">
                  <c:v>13.3</c:v>
                </c:pt>
                <c:pt idx="2">
                  <c:v>175.35</c:v>
                </c:pt>
                <c:pt idx="3">
                  <c:v>213.5</c:v>
                </c:pt>
              </c:numCache>
            </c:numRef>
          </c:val>
        </c:ser>
        <c:ser>
          <c:idx val="1"/>
          <c:order val="1"/>
          <c:tx>
            <c:strRef>
              <c:f>'Data for Graphs'!$I$295</c:f>
              <c:strCache>
                <c:ptCount val="1"/>
                <c:pt idx="0">
                  <c:v>Rice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Graphs'!$G$296:$G$299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Graphs'!$I$296:$I$299</c:f>
              <c:numCache>
                <c:formatCode>General</c:formatCode>
                <c:ptCount val="4"/>
                <c:pt idx="0">
                  <c:v>16.100000000000001</c:v>
                </c:pt>
                <c:pt idx="2">
                  <c:v>142.1</c:v>
                </c:pt>
                <c:pt idx="3">
                  <c:v>199.5</c:v>
                </c:pt>
              </c:numCache>
            </c:numRef>
          </c:val>
        </c:ser>
        <c:ser>
          <c:idx val="2"/>
          <c:order val="2"/>
          <c:tx>
            <c:strRef>
              <c:f>'Data for Graphs'!$J$295</c:f>
              <c:strCache>
                <c:ptCount val="1"/>
                <c:pt idx="0">
                  <c:v>Rice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Graphs'!$G$296:$G$299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Graphs'!$J$296:$J$299</c:f>
              <c:numCache>
                <c:formatCode>General</c:formatCode>
                <c:ptCount val="4"/>
                <c:pt idx="0">
                  <c:v>39.200000000000003</c:v>
                </c:pt>
                <c:pt idx="2">
                  <c:v>78.75</c:v>
                </c:pt>
                <c:pt idx="3">
                  <c:v>61.6</c:v>
                </c:pt>
              </c:numCache>
            </c:numRef>
          </c:val>
        </c:ser>
        <c:ser>
          <c:idx val="3"/>
          <c:order val="3"/>
          <c:tx>
            <c:strRef>
              <c:f>'Data for Graphs'!$K$295</c:f>
              <c:strCache>
                <c:ptCount val="1"/>
                <c:pt idx="0">
                  <c:v>Rice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Graphs'!$G$296:$G$299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Graphs'!$K$296:$K$299</c:f>
              <c:numCache>
                <c:formatCode>General</c:formatCode>
                <c:ptCount val="4"/>
                <c:pt idx="2">
                  <c:v>72.8</c:v>
                </c:pt>
              </c:numCache>
            </c:numRef>
          </c:val>
        </c:ser>
        <c:marker val="1"/>
        <c:axId val="72461696"/>
        <c:axId val="72476160"/>
      </c:lineChart>
      <c:dateAx>
        <c:axId val="72461696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476160"/>
        <c:crosses val="autoZero"/>
        <c:auto val="1"/>
        <c:lblOffset val="100"/>
        <c:majorUnit val="7"/>
        <c:majorTimeUnit val="days"/>
      </c:dateAx>
      <c:valAx>
        <c:axId val="72476160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461696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1091E-2"/>
          <c:w val="0.93338211382113756"/>
          <c:h val="0.74138469753542213"/>
        </c:manualLayout>
      </c:layout>
      <c:lineChart>
        <c:grouping val="standard"/>
        <c:ser>
          <c:idx val="0"/>
          <c:order val="0"/>
          <c:tx>
            <c:strRef>
              <c:f>'Data for Graphs'!$B$301</c:f>
              <c:strCache>
                <c:ptCount val="1"/>
                <c:pt idx="0">
                  <c:v>Rice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Graphs'!$A$302:$A$305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Graphs'!$B$302:$B$305</c:f>
              <c:numCache>
                <c:formatCode>General</c:formatCode>
                <c:ptCount val="4"/>
                <c:pt idx="0">
                  <c:v>3.66</c:v>
                </c:pt>
                <c:pt idx="2">
                  <c:v>3.56</c:v>
                </c:pt>
                <c:pt idx="3">
                  <c:v>3.69</c:v>
                </c:pt>
              </c:numCache>
            </c:numRef>
          </c:val>
        </c:ser>
        <c:ser>
          <c:idx val="1"/>
          <c:order val="1"/>
          <c:tx>
            <c:strRef>
              <c:f>'Data for Graphs'!$C$301</c:f>
              <c:strCache>
                <c:ptCount val="1"/>
                <c:pt idx="0">
                  <c:v>Rice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Graphs'!$A$302:$A$305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Graphs'!$C$302:$C$305</c:f>
              <c:numCache>
                <c:formatCode>General</c:formatCode>
                <c:ptCount val="4"/>
                <c:pt idx="0">
                  <c:v>3.64</c:v>
                </c:pt>
                <c:pt idx="2">
                  <c:v>3.66</c:v>
                </c:pt>
                <c:pt idx="3">
                  <c:v>4.03</c:v>
                </c:pt>
              </c:numCache>
            </c:numRef>
          </c:val>
        </c:ser>
        <c:ser>
          <c:idx val="2"/>
          <c:order val="2"/>
          <c:tx>
            <c:strRef>
              <c:f>'Data for Graphs'!$D$301</c:f>
              <c:strCache>
                <c:ptCount val="1"/>
                <c:pt idx="0">
                  <c:v>Rice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Graphs'!$A$302:$A$305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Graphs'!$D$302:$D$305</c:f>
              <c:numCache>
                <c:formatCode>General</c:formatCode>
                <c:ptCount val="4"/>
                <c:pt idx="0">
                  <c:v>4.0599999999999996</c:v>
                </c:pt>
                <c:pt idx="2">
                  <c:v>3.9</c:v>
                </c:pt>
                <c:pt idx="3">
                  <c:v>3.69</c:v>
                </c:pt>
              </c:numCache>
            </c:numRef>
          </c:val>
        </c:ser>
        <c:ser>
          <c:idx val="3"/>
          <c:order val="3"/>
          <c:tx>
            <c:strRef>
              <c:f>'Data for Graphs'!$E$301</c:f>
              <c:strCache>
                <c:ptCount val="1"/>
                <c:pt idx="0">
                  <c:v>Rice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Graphs'!$A$302:$A$305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Graphs'!$E$302:$E$305</c:f>
              <c:numCache>
                <c:formatCode>General</c:formatCode>
                <c:ptCount val="4"/>
                <c:pt idx="2">
                  <c:v>4.0999999999999996</c:v>
                </c:pt>
              </c:numCache>
            </c:numRef>
          </c:val>
        </c:ser>
        <c:marker val="1"/>
        <c:axId val="72641536"/>
        <c:axId val="72647808"/>
      </c:lineChart>
      <c:dateAx>
        <c:axId val="72641536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647808"/>
        <c:crosses val="autoZero"/>
        <c:auto val="1"/>
        <c:lblOffset val="100"/>
        <c:majorUnit val="7"/>
        <c:majorTimeUnit val="days"/>
      </c:dateAx>
      <c:valAx>
        <c:axId val="7264780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641536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Graphs'!$H$301</c:f>
              <c:strCache>
                <c:ptCount val="1"/>
                <c:pt idx="0">
                  <c:v>Rice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Graphs'!$G$302:$G$305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Graphs'!$H$302:$H$305</c:f>
              <c:numCache>
                <c:formatCode>General</c:formatCode>
                <c:ptCount val="4"/>
                <c:pt idx="0">
                  <c:v>39.200000000000003</c:v>
                </c:pt>
                <c:pt idx="2">
                  <c:v>54.95</c:v>
                </c:pt>
                <c:pt idx="3">
                  <c:v>108.5</c:v>
                </c:pt>
              </c:numCache>
            </c:numRef>
          </c:val>
        </c:ser>
        <c:ser>
          <c:idx val="1"/>
          <c:order val="1"/>
          <c:tx>
            <c:strRef>
              <c:f>'Data for Graphs'!$I$301</c:f>
              <c:strCache>
                <c:ptCount val="1"/>
                <c:pt idx="0">
                  <c:v>Rice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Graphs'!$G$302:$G$305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Graphs'!$I$302:$I$305</c:f>
              <c:numCache>
                <c:formatCode>General</c:formatCode>
                <c:ptCount val="4"/>
                <c:pt idx="0">
                  <c:v>15.4</c:v>
                </c:pt>
                <c:pt idx="2">
                  <c:v>54.25</c:v>
                </c:pt>
                <c:pt idx="3">
                  <c:v>184.8</c:v>
                </c:pt>
              </c:numCache>
            </c:numRef>
          </c:val>
        </c:ser>
        <c:ser>
          <c:idx val="2"/>
          <c:order val="2"/>
          <c:tx>
            <c:strRef>
              <c:f>'Data for Graphs'!$J$301</c:f>
              <c:strCache>
                <c:ptCount val="1"/>
                <c:pt idx="0">
                  <c:v>Rice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Graphs'!$G$302:$G$305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Graphs'!$J$302:$J$305</c:f>
              <c:numCache>
                <c:formatCode>General</c:formatCode>
                <c:ptCount val="4"/>
                <c:pt idx="0">
                  <c:v>57.4</c:v>
                </c:pt>
                <c:pt idx="2">
                  <c:v>46.55</c:v>
                </c:pt>
                <c:pt idx="3">
                  <c:v>126</c:v>
                </c:pt>
              </c:numCache>
            </c:numRef>
          </c:val>
        </c:ser>
        <c:ser>
          <c:idx val="3"/>
          <c:order val="3"/>
          <c:tx>
            <c:strRef>
              <c:f>'Data for Graphs'!$K$301</c:f>
              <c:strCache>
                <c:ptCount val="1"/>
                <c:pt idx="0">
                  <c:v>Rice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Graphs'!$G$302:$G$305</c:f>
              <c:numCache>
                <c:formatCode>m/d/yyyy</c:formatCode>
                <c:ptCount val="4"/>
                <c:pt idx="0">
                  <c:v>40550</c:v>
                </c:pt>
                <c:pt idx="1">
                  <c:v>40566</c:v>
                </c:pt>
                <c:pt idx="2">
                  <c:v>40586</c:v>
                </c:pt>
                <c:pt idx="3">
                  <c:v>40672</c:v>
                </c:pt>
              </c:numCache>
            </c:numRef>
          </c:cat>
          <c:val>
            <c:numRef>
              <c:f>'Data for Graphs'!$K$302:$K$305</c:f>
              <c:numCache>
                <c:formatCode>General</c:formatCode>
                <c:ptCount val="4"/>
                <c:pt idx="2">
                  <c:v>63.35</c:v>
                </c:pt>
              </c:numCache>
            </c:numRef>
          </c:val>
        </c:ser>
        <c:marker val="1"/>
        <c:axId val="72698496"/>
        <c:axId val="72712960"/>
      </c:lineChart>
      <c:dateAx>
        <c:axId val="72698496"/>
        <c:scaling>
          <c:orientation val="minMax"/>
          <c:max val="40694"/>
          <c:min val="40544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712960"/>
        <c:crosses val="autoZero"/>
        <c:auto val="1"/>
        <c:lblOffset val="100"/>
        <c:majorUnit val="7"/>
        <c:majorTimeUnit val="days"/>
      </c:dateAx>
      <c:valAx>
        <c:axId val="72712960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698496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731707317073172E-2"/>
          <c:y val="8.8351163441021049E-2"/>
          <c:w val="0.93338211382113756"/>
          <c:h val="0.74138469753542191"/>
        </c:manualLayout>
      </c:layout>
      <c:lineChart>
        <c:grouping val="standard"/>
        <c:ser>
          <c:idx val="0"/>
          <c:order val="0"/>
          <c:tx>
            <c:strRef>
              <c:f>'Data for Graphs'!$B$307</c:f>
              <c:strCache>
                <c:ptCount val="1"/>
                <c:pt idx="0">
                  <c:v>Captainich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Graphs'!$A$308:$A$312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Graphs'!$B$308:$B$312</c:f>
              <c:numCache>
                <c:formatCode>General</c:formatCode>
                <c:ptCount val="5"/>
                <c:pt idx="0">
                  <c:v>0.9</c:v>
                </c:pt>
                <c:pt idx="1">
                  <c:v>0.53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1.1200000000000001</c:v>
                </c:pt>
              </c:numCache>
            </c:numRef>
          </c:val>
        </c:ser>
        <c:ser>
          <c:idx val="1"/>
          <c:order val="1"/>
          <c:tx>
            <c:strRef>
              <c:f>'Data for Graphs'!$C$307</c:f>
              <c:strCache>
                <c:ptCount val="1"/>
                <c:pt idx="0">
                  <c:v>Captainich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Graphs'!$A$308:$A$312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Graphs'!$C$308:$C$312</c:f>
              <c:numCache>
                <c:formatCode>General</c:formatCode>
                <c:ptCount val="5"/>
                <c:pt idx="0">
                  <c:v>1.49</c:v>
                </c:pt>
                <c:pt idx="1">
                  <c:v>0.59</c:v>
                </c:pt>
                <c:pt idx="2">
                  <c:v>0.6</c:v>
                </c:pt>
                <c:pt idx="3">
                  <c:v>0.57999999999999996</c:v>
                </c:pt>
                <c:pt idx="4">
                  <c:v>0.93</c:v>
                </c:pt>
              </c:numCache>
            </c:numRef>
          </c:val>
        </c:ser>
        <c:ser>
          <c:idx val="2"/>
          <c:order val="2"/>
          <c:tx>
            <c:strRef>
              <c:f>'Data for Graphs'!$D$307</c:f>
              <c:strCache>
                <c:ptCount val="1"/>
                <c:pt idx="0">
                  <c:v>Captainich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Graphs'!$A$308:$A$312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Graphs'!$D$308:$D$312</c:f>
              <c:numCache>
                <c:formatCode>General</c:formatCode>
                <c:ptCount val="5"/>
                <c:pt idx="0">
                  <c:v>1.92</c:v>
                </c:pt>
                <c:pt idx="1">
                  <c:v>0.53</c:v>
                </c:pt>
                <c:pt idx="2">
                  <c:v>0.59</c:v>
                </c:pt>
                <c:pt idx="3">
                  <c:v>0.55000000000000004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'Data for Graphs'!$E$307</c:f>
              <c:strCache>
                <c:ptCount val="1"/>
                <c:pt idx="0">
                  <c:v>Captainich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Graphs'!$A$308:$A$312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Graphs'!$E$308:$E$312</c:f>
              <c:numCache>
                <c:formatCode>General</c:formatCode>
                <c:ptCount val="5"/>
                <c:pt idx="2">
                  <c:v>0.65</c:v>
                </c:pt>
              </c:numCache>
            </c:numRef>
          </c:val>
        </c:ser>
        <c:marker val="1"/>
        <c:axId val="72821376"/>
        <c:axId val="72844032"/>
      </c:lineChart>
      <c:dateAx>
        <c:axId val="72821376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844032"/>
        <c:crosses val="autoZero"/>
        <c:auto val="1"/>
        <c:lblOffset val="100"/>
        <c:majorUnit val="10"/>
        <c:majorTimeUnit val="days"/>
      </c:dateAx>
      <c:valAx>
        <c:axId val="72844032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82137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Graphs'!$H$307</c:f>
              <c:strCache>
                <c:ptCount val="1"/>
                <c:pt idx="0">
                  <c:v>Captainich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Graphs'!$G$308:$G$312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Graphs'!$H$308:$H$312</c:f>
              <c:numCache>
                <c:formatCode>General</c:formatCode>
                <c:ptCount val="5"/>
                <c:pt idx="0">
                  <c:v>16.45</c:v>
                </c:pt>
                <c:pt idx="1">
                  <c:v>13.65</c:v>
                </c:pt>
                <c:pt idx="2">
                  <c:v>16.45</c:v>
                </c:pt>
                <c:pt idx="3">
                  <c:v>13.65</c:v>
                </c:pt>
                <c:pt idx="4">
                  <c:v>77.7</c:v>
                </c:pt>
              </c:numCache>
            </c:numRef>
          </c:val>
        </c:ser>
        <c:ser>
          <c:idx val="1"/>
          <c:order val="1"/>
          <c:tx>
            <c:strRef>
              <c:f>'Data for Graphs'!$I$307</c:f>
              <c:strCache>
                <c:ptCount val="1"/>
                <c:pt idx="0">
                  <c:v>Captainich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Graphs'!$G$308:$G$312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Graphs'!$I$308:$I$312</c:f>
              <c:numCache>
                <c:formatCode>General</c:formatCode>
                <c:ptCount val="5"/>
                <c:pt idx="0">
                  <c:v>50.4</c:v>
                </c:pt>
                <c:pt idx="1">
                  <c:v>17.5</c:v>
                </c:pt>
                <c:pt idx="2">
                  <c:v>17.5</c:v>
                </c:pt>
                <c:pt idx="3">
                  <c:v>10.15</c:v>
                </c:pt>
                <c:pt idx="4">
                  <c:v>66.849999999999994</c:v>
                </c:pt>
              </c:numCache>
            </c:numRef>
          </c:val>
        </c:ser>
        <c:ser>
          <c:idx val="2"/>
          <c:order val="2"/>
          <c:tx>
            <c:strRef>
              <c:f>'Data for Graphs'!$J$307</c:f>
              <c:strCache>
                <c:ptCount val="1"/>
                <c:pt idx="0">
                  <c:v>Captainich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Graphs'!$G$308:$G$312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Graphs'!$J$308:$J$312</c:f>
              <c:numCache>
                <c:formatCode>General</c:formatCode>
                <c:ptCount val="5"/>
                <c:pt idx="0">
                  <c:v>93.45</c:v>
                </c:pt>
                <c:pt idx="1">
                  <c:v>10.5</c:v>
                </c:pt>
                <c:pt idx="2">
                  <c:v>18.55</c:v>
                </c:pt>
                <c:pt idx="3">
                  <c:v>12.25</c:v>
                </c:pt>
                <c:pt idx="4">
                  <c:v>59.5</c:v>
                </c:pt>
              </c:numCache>
            </c:numRef>
          </c:val>
        </c:ser>
        <c:ser>
          <c:idx val="3"/>
          <c:order val="3"/>
          <c:tx>
            <c:strRef>
              <c:f>'Data for Graphs'!$K$307</c:f>
              <c:strCache>
                <c:ptCount val="1"/>
                <c:pt idx="0">
                  <c:v>Captainich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Graphs'!$G$308:$G$312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Graphs'!$K$308:$K$312</c:f>
              <c:numCache>
                <c:formatCode>General</c:formatCode>
                <c:ptCount val="5"/>
                <c:pt idx="2">
                  <c:v>18.899999999999999</c:v>
                </c:pt>
              </c:numCache>
            </c:numRef>
          </c:val>
        </c:ser>
        <c:marker val="1"/>
        <c:axId val="72753152"/>
        <c:axId val="72753536"/>
      </c:lineChart>
      <c:dateAx>
        <c:axId val="72753152"/>
        <c:scaling>
          <c:orientation val="minMax"/>
          <c:max val="40724"/>
          <c:min val="40516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753536"/>
        <c:crosses val="autoZero"/>
        <c:auto val="1"/>
        <c:lblOffset val="100"/>
        <c:majorUnit val="10"/>
        <c:majorTimeUnit val="days"/>
      </c:dateAx>
      <c:valAx>
        <c:axId val="72753536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753152"/>
        <c:crosses val="autoZero"/>
        <c:crossBetween val="between"/>
        <c:majorUnit val="75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1091E-2"/>
          <c:w val="0.93338211382113756"/>
          <c:h val="0.74138469753542213"/>
        </c:manualLayout>
      </c:layout>
      <c:lineChart>
        <c:grouping val="standard"/>
        <c:ser>
          <c:idx val="0"/>
          <c:order val="0"/>
          <c:tx>
            <c:strRef>
              <c:f>'Data for Graphs'!$B$314</c:f>
              <c:strCache>
                <c:ptCount val="1"/>
                <c:pt idx="0">
                  <c:v>MBA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Graphs'!$A$315:$A$317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Graphs'!$B$315:$B$316</c:f>
              <c:numCache>
                <c:formatCode>General</c:formatCode>
                <c:ptCount val="2"/>
                <c:pt idx="0">
                  <c:v>1.58</c:v>
                </c:pt>
                <c:pt idx="1">
                  <c:v>1.31</c:v>
                </c:pt>
              </c:numCache>
            </c:numRef>
          </c:val>
        </c:ser>
        <c:ser>
          <c:idx val="1"/>
          <c:order val="1"/>
          <c:tx>
            <c:strRef>
              <c:f>'Data for Graphs'!$C$314</c:f>
              <c:strCache>
                <c:ptCount val="1"/>
                <c:pt idx="0">
                  <c:v>MBA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Graphs'!$A$315:$A$317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Graphs'!$C$315:$C$317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'Data for Graphs'!$D$314</c:f>
              <c:strCache>
                <c:ptCount val="1"/>
                <c:pt idx="0">
                  <c:v>MBA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Graphs'!$A$315:$A$317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Graphs'!$D$315:$D$317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'Data for Graphs'!$E$314</c:f>
              <c:strCache>
                <c:ptCount val="1"/>
                <c:pt idx="0">
                  <c:v>MBA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Graphs'!$A$315:$A$317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Graphs'!$E$315:$E$317</c:f>
              <c:numCache>
                <c:formatCode>General</c:formatCode>
                <c:ptCount val="3"/>
              </c:numCache>
            </c:numRef>
          </c:val>
        </c:ser>
        <c:marker val="1"/>
        <c:axId val="72915200"/>
        <c:axId val="72933760"/>
      </c:lineChart>
      <c:dateAx>
        <c:axId val="72915200"/>
        <c:scaling>
          <c:orientation val="minMax"/>
          <c:max val="40575"/>
          <c:min val="4048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933760"/>
        <c:crosses val="autoZero"/>
        <c:auto val="1"/>
        <c:lblOffset val="100"/>
        <c:majorUnit val="7"/>
        <c:majorTimeUnit val="days"/>
      </c:dateAx>
      <c:valAx>
        <c:axId val="72933760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915200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Graphs'!$H$314</c:f>
              <c:strCache>
                <c:ptCount val="1"/>
                <c:pt idx="0">
                  <c:v>MBA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Graphs'!$G$315:$G$317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Graphs'!$H$315:$H$317</c:f>
              <c:numCache>
                <c:formatCode>General</c:formatCode>
                <c:ptCount val="3"/>
                <c:pt idx="0">
                  <c:v>35.700000000000003</c:v>
                </c:pt>
                <c:pt idx="1">
                  <c:v>42</c:v>
                </c:pt>
              </c:numCache>
            </c:numRef>
          </c:val>
        </c:ser>
        <c:ser>
          <c:idx val="1"/>
          <c:order val="1"/>
          <c:tx>
            <c:strRef>
              <c:f>'Data for Graphs'!$I$314</c:f>
              <c:strCache>
                <c:ptCount val="1"/>
                <c:pt idx="0">
                  <c:v>MBA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Graphs'!$G$315:$G$317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Graphs'!$I$315:$I$317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'Data for Graphs'!$J$314</c:f>
              <c:strCache>
                <c:ptCount val="1"/>
                <c:pt idx="0">
                  <c:v>MBA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Graphs'!$G$315:$G$317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Graphs'!$J$315:$J$317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'Data for Graphs'!$K$314</c:f>
              <c:strCache>
                <c:ptCount val="1"/>
                <c:pt idx="0">
                  <c:v>MBA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Graphs'!$G$315:$G$317</c:f>
              <c:numCache>
                <c:formatCode>m/d/yyyy</c:formatCode>
                <c:ptCount val="3"/>
                <c:pt idx="0">
                  <c:v>40497</c:v>
                </c:pt>
                <c:pt idx="1">
                  <c:v>40497</c:v>
                </c:pt>
              </c:numCache>
            </c:numRef>
          </c:cat>
          <c:val>
            <c:numRef>
              <c:f>'Data for Graphs'!$K$315:$K$317</c:f>
              <c:numCache>
                <c:formatCode>General</c:formatCode>
                <c:ptCount val="3"/>
              </c:numCache>
            </c:numRef>
          </c:val>
        </c:ser>
        <c:marker val="1"/>
        <c:axId val="73033600"/>
        <c:axId val="73043968"/>
      </c:lineChart>
      <c:dateAx>
        <c:axId val="73033600"/>
        <c:scaling>
          <c:orientation val="minMax"/>
          <c:max val="40575"/>
          <c:min val="4048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043968"/>
        <c:crosses val="autoZero"/>
        <c:auto val="1"/>
        <c:lblOffset val="100"/>
        <c:majorUnit val="7"/>
        <c:majorTimeUnit val="days"/>
      </c:dateAx>
      <c:valAx>
        <c:axId val="73043968"/>
        <c:scaling>
          <c:orientation val="minMax"/>
          <c:max val="800"/>
          <c:min val="5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033600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731707317073172E-2"/>
          <c:y val="8.8351163441021091E-2"/>
          <c:w val="0.93338211382113756"/>
          <c:h val="0.74138469753542213"/>
        </c:manualLayout>
      </c:layout>
      <c:lineChart>
        <c:grouping val="standard"/>
        <c:ser>
          <c:idx val="0"/>
          <c:order val="0"/>
          <c:tx>
            <c:strRef>
              <c:f>'Data for Graphs'!$B$318</c:f>
              <c:strCache>
                <c:ptCount val="1"/>
                <c:pt idx="0">
                  <c:v>Porter Ranch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Graphs'!$A$319:$A$323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Graphs'!$B$319:$B$323</c:f>
              <c:numCache>
                <c:formatCode>General</c:formatCode>
                <c:ptCount val="5"/>
                <c:pt idx="0">
                  <c:v>2.5299999999999998</c:v>
                </c:pt>
                <c:pt idx="1">
                  <c:v>1.03</c:v>
                </c:pt>
                <c:pt idx="2">
                  <c:v>1.4</c:v>
                </c:pt>
                <c:pt idx="3">
                  <c:v>1.52</c:v>
                </c:pt>
                <c:pt idx="4">
                  <c:v>1.99</c:v>
                </c:pt>
              </c:numCache>
            </c:numRef>
          </c:val>
        </c:ser>
        <c:ser>
          <c:idx val="1"/>
          <c:order val="1"/>
          <c:tx>
            <c:strRef>
              <c:f>'Data for Graphs'!$C$318</c:f>
              <c:strCache>
                <c:ptCount val="1"/>
                <c:pt idx="0">
                  <c:v>Porter Ranch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Graphs'!$A$319:$A$323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Graphs'!$C$319:$C$323</c:f>
              <c:numCache>
                <c:formatCode>General</c:formatCode>
                <c:ptCount val="5"/>
                <c:pt idx="0">
                  <c:v>2.17</c:v>
                </c:pt>
                <c:pt idx="1">
                  <c:v>1.02</c:v>
                </c:pt>
                <c:pt idx="2">
                  <c:v>0.96</c:v>
                </c:pt>
                <c:pt idx="3">
                  <c:v>1.27</c:v>
                </c:pt>
                <c:pt idx="4">
                  <c:v>2.16</c:v>
                </c:pt>
              </c:numCache>
            </c:numRef>
          </c:val>
        </c:ser>
        <c:ser>
          <c:idx val="2"/>
          <c:order val="2"/>
          <c:tx>
            <c:strRef>
              <c:f>'Data for Graphs'!$D$318</c:f>
              <c:strCache>
                <c:ptCount val="1"/>
                <c:pt idx="0">
                  <c:v>Porter Ranch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Graphs'!$A$319:$A$323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Graphs'!$D$319:$D$323</c:f>
              <c:numCache>
                <c:formatCode>General</c:formatCode>
                <c:ptCount val="5"/>
                <c:pt idx="0">
                  <c:v>1.57</c:v>
                </c:pt>
                <c:pt idx="1">
                  <c:v>1.28</c:v>
                </c:pt>
                <c:pt idx="2">
                  <c:v>0.93</c:v>
                </c:pt>
                <c:pt idx="3">
                  <c:v>1.0900000000000001</c:v>
                </c:pt>
                <c:pt idx="4">
                  <c:v>1.88</c:v>
                </c:pt>
              </c:numCache>
            </c:numRef>
          </c:val>
        </c:ser>
        <c:ser>
          <c:idx val="3"/>
          <c:order val="3"/>
          <c:tx>
            <c:strRef>
              <c:f>'Data for Graphs'!$E$318</c:f>
              <c:strCache>
                <c:ptCount val="1"/>
                <c:pt idx="0">
                  <c:v>Porter Ranch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Graphs'!$A$319:$A$323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Graphs'!$E$319:$E$323</c:f>
              <c:numCache>
                <c:formatCode>General</c:formatCode>
                <c:ptCount val="5"/>
                <c:pt idx="1">
                  <c:v>1.26</c:v>
                </c:pt>
                <c:pt idx="2">
                  <c:v>1.04</c:v>
                </c:pt>
              </c:numCache>
            </c:numRef>
          </c:val>
        </c:ser>
        <c:marker val="1"/>
        <c:axId val="72943488"/>
        <c:axId val="72953856"/>
      </c:lineChart>
      <c:dateAx>
        <c:axId val="72943488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953856"/>
        <c:crosses val="autoZero"/>
        <c:auto val="1"/>
        <c:lblOffset val="100"/>
        <c:majorUnit val="10"/>
        <c:majorTimeUnit val="days"/>
      </c:dateAx>
      <c:valAx>
        <c:axId val="72953856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943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5528455284553E-2"/>
          <c:y val="0.91658011993701516"/>
          <c:w val="0.94474796747967582"/>
          <c:h val="7.0395138523766901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227585333920076E-2"/>
          <c:y val="8.8341076643733002E-2"/>
          <c:w val="0.93407126556120434"/>
          <c:h val="0.7153677138138107"/>
        </c:manualLayout>
      </c:layout>
      <c:lineChart>
        <c:grouping val="standard"/>
        <c:ser>
          <c:idx val="0"/>
          <c:order val="0"/>
          <c:tx>
            <c:strRef>
              <c:f>'Data for Graphs'!$B$35</c:f>
              <c:strCache>
                <c:ptCount val="1"/>
                <c:pt idx="0">
                  <c:v>Eclipse Block II,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Graphs'!$A$36:$A$52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Graphs'!$B$36:$B$52</c:f>
              <c:numCache>
                <c:formatCode>General</c:formatCode>
                <c:ptCount val="17"/>
                <c:pt idx="6">
                  <c:v>5.96</c:v>
                </c:pt>
                <c:pt idx="7">
                  <c:v>5.37</c:v>
                </c:pt>
                <c:pt idx="8">
                  <c:v>4.8099999999999996</c:v>
                </c:pt>
                <c:pt idx="9">
                  <c:v>4.91</c:v>
                </c:pt>
                <c:pt idx="10">
                  <c:v>4.46</c:v>
                </c:pt>
                <c:pt idx="11">
                  <c:v>4.92</c:v>
                </c:pt>
                <c:pt idx="12">
                  <c:v>4.43</c:v>
                </c:pt>
                <c:pt idx="13">
                  <c:v>3.36</c:v>
                </c:pt>
                <c:pt idx="14">
                  <c:v>4.33</c:v>
                </c:pt>
                <c:pt idx="15">
                  <c:v>3.42</c:v>
                </c:pt>
                <c:pt idx="16">
                  <c:v>2.0699999999999998</c:v>
                </c:pt>
              </c:numCache>
            </c:numRef>
          </c:val>
        </c:ser>
        <c:ser>
          <c:idx val="1"/>
          <c:order val="1"/>
          <c:tx>
            <c:strRef>
              <c:f>'Data for Graphs'!$C$35</c:f>
              <c:strCache>
                <c:ptCount val="1"/>
                <c:pt idx="0">
                  <c:v>Eclipse Block II,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Graphs'!$A$36:$A$52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Graphs'!$C$36:$C$52</c:f>
              <c:numCache>
                <c:formatCode>General</c:formatCode>
                <c:ptCount val="17"/>
                <c:pt idx="6">
                  <c:v>6.01</c:v>
                </c:pt>
                <c:pt idx="7">
                  <c:v>6.65</c:v>
                </c:pt>
                <c:pt idx="8">
                  <c:v>13.8</c:v>
                </c:pt>
                <c:pt idx="9">
                  <c:v>10.4</c:v>
                </c:pt>
                <c:pt idx="10">
                  <c:v>12</c:v>
                </c:pt>
                <c:pt idx="11">
                  <c:v>6.12</c:v>
                </c:pt>
                <c:pt idx="12">
                  <c:v>6.04</c:v>
                </c:pt>
                <c:pt idx="13">
                  <c:v>5.48</c:v>
                </c:pt>
                <c:pt idx="14">
                  <c:v>5.94</c:v>
                </c:pt>
                <c:pt idx="15">
                  <c:v>6.25</c:v>
                </c:pt>
                <c:pt idx="16">
                  <c:v>2.72</c:v>
                </c:pt>
              </c:numCache>
            </c:numRef>
          </c:val>
        </c:ser>
        <c:ser>
          <c:idx val="2"/>
          <c:order val="2"/>
          <c:tx>
            <c:strRef>
              <c:f>'Data for Graphs'!$D$35</c:f>
              <c:strCache>
                <c:ptCount val="1"/>
                <c:pt idx="0">
                  <c:v>Eclipse Block II,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Graphs'!$A$36:$A$52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Graphs'!$D$36:$D$52</c:f>
              <c:numCache>
                <c:formatCode>General</c:formatCode>
                <c:ptCount val="17"/>
                <c:pt idx="6">
                  <c:v>4.74</c:v>
                </c:pt>
                <c:pt idx="7">
                  <c:v>3.84</c:v>
                </c:pt>
                <c:pt idx="8">
                  <c:v>3.91</c:v>
                </c:pt>
                <c:pt idx="9">
                  <c:v>4.7300000000000004</c:v>
                </c:pt>
                <c:pt idx="10">
                  <c:v>5.98</c:v>
                </c:pt>
                <c:pt idx="11">
                  <c:v>5.82</c:v>
                </c:pt>
                <c:pt idx="12">
                  <c:v>4.34</c:v>
                </c:pt>
                <c:pt idx="13">
                  <c:v>4.7</c:v>
                </c:pt>
                <c:pt idx="14">
                  <c:v>4.38</c:v>
                </c:pt>
                <c:pt idx="15">
                  <c:v>3.5</c:v>
                </c:pt>
                <c:pt idx="16">
                  <c:v>1.34</c:v>
                </c:pt>
              </c:numCache>
            </c:numRef>
          </c:val>
        </c:ser>
        <c:ser>
          <c:idx val="3"/>
          <c:order val="3"/>
          <c:tx>
            <c:strRef>
              <c:f>'Data for Graphs'!$E$35</c:f>
              <c:strCache>
                <c:ptCount val="1"/>
                <c:pt idx="0">
                  <c:v>Eclipse Block II,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Graphs'!$A$36:$A$52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40448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Graphs'!$E$36:$E$52</c:f>
              <c:numCache>
                <c:formatCode>General</c:formatCode>
                <c:ptCount val="17"/>
                <c:pt idx="6">
                  <c:v>3.95</c:v>
                </c:pt>
                <c:pt idx="7">
                  <c:v>3.47</c:v>
                </c:pt>
                <c:pt idx="8">
                  <c:v>4.41</c:v>
                </c:pt>
                <c:pt idx="9">
                  <c:v>4.33</c:v>
                </c:pt>
                <c:pt idx="10">
                  <c:v>4.45</c:v>
                </c:pt>
                <c:pt idx="11">
                  <c:v>5.56</c:v>
                </c:pt>
                <c:pt idx="12">
                  <c:v>4.72</c:v>
                </c:pt>
                <c:pt idx="14">
                  <c:v>4.5</c:v>
                </c:pt>
              </c:numCache>
            </c:numRef>
          </c:val>
        </c:ser>
        <c:marker val="1"/>
        <c:axId val="70082560"/>
        <c:axId val="70084480"/>
      </c:lineChart>
      <c:dateAx>
        <c:axId val="70082560"/>
        <c:scaling>
          <c:orientation val="minMax"/>
          <c:max val="40694"/>
          <c:min val="40422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084480"/>
        <c:crosses val="autoZero"/>
        <c:auto val="1"/>
        <c:lblOffset val="100"/>
        <c:majorUnit val="10"/>
        <c:majorTimeUnit val="days"/>
      </c:dateAx>
      <c:valAx>
        <c:axId val="70084480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082560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Graphs'!$H$318</c:f>
              <c:strCache>
                <c:ptCount val="1"/>
                <c:pt idx="0">
                  <c:v>Porter Ranch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Graphs'!$G$319:$G$323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Graphs'!$H$319:$H$323</c:f>
              <c:numCache>
                <c:formatCode>General</c:formatCode>
                <c:ptCount val="5"/>
                <c:pt idx="0">
                  <c:v>26.6</c:v>
                </c:pt>
                <c:pt idx="1">
                  <c:v>9.4499999999999993</c:v>
                </c:pt>
                <c:pt idx="2">
                  <c:v>27.65</c:v>
                </c:pt>
                <c:pt idx="3">
                  <c:v>69.650000000000006</c:v>
                </c:pt>
                <c:pt idx="4">
                  <c:v>127.05</c:v>
                </c:pt>
              </c:numCache>
            </c:numRef>
          </c:val>
        </c:ser>
        <c:ser>
          <c:idx val="1"/>
          <c:order val="1"/>
          <c:tx>
            <c:strRef>
              <c:f>'Data for Graphs'!$I$318</c:f>
              <c:strCache>
                <c:ptCount val="1"/>
                <c:pt idx="0">
                  <c:v>Porter Ranch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Graphs'!$G$319:$G$323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Graphs'!$I$319:$I$323</c:f>
              <c:numCache>
                <c:formatCode>General</c:formatCode>
                <c:ptCount val="5"/>
                <c:pt idx="0">
                  <c:v>47.95</c:v>
                </c:pt>
                <c:pt idx="1">
                  <c:v>11.55</c:v>
                </c:pt>
                <c:pt idx="2">
                  <c:v>19.25</c:v>
                </c:pt>
                <c:pt idx="3">
                  <c:v>59.5</c:v>
                </c:pt>
                <c:pt idx="4">
                  <c:v>128.80000000000001</c:v>
                </c:pt>
              </c:numCache>
            </c:numRef>
          </c:val>
        </c:ser>
        <c:ser>
          <c:idx val="2"/>
          <c:order val="2"/>
          <c:tx>
            <c:strRef>
              <c:f>'Data for Graphs'!$J$318</c:f>
              <c:strCache>
                <c:ptCount val="1"/>
                <c:pt idx="0">
                  <c:v>Porter Ranch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Graphs'!$G$319:$G$323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Graphs'!$J$319:$J$323</c:f>
              <c:numCache>
                <c:formatCode>General</c:formatCode>
                <c:ptCount val="5"/>
                <c:pt idx="0">
                  <c:v>28.7</c:v>
                </c:pt>
                <c:pt idx="1">
                  <c:v>15.75</c:v>
                </c:pt>
                <c:pt idx="2">
                  <c:v>17.850000000000001</c:v>
                </c:pt>
                <c:pt idx="3">
                  <c:v>46.9</c:v>
                </c:pt>
                <c:pt idx="4">
                  <c:v>123.9</c:v>
                </c:pt>
              </c:numCache>
            </c:numRef>
          </c:val>
        </c:ser>
        <c:ser>
          <c:idx val="3"/>
          <c:order val="3"/>
          <c:tx>
            <c:strRef>
              <c:f>'Data for Graphs'!$K$318</c:f>
              <c:strCache>
                <c:ptCount val="1"/>
                <c:pt idx="0">
                  <c:v>Porter Ranch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Graphs'!$G$319:$G$323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Graphs'!$K$319:$K$323</c:f>
              <c:numCache>
                <c:formatCode>General</c:formatCode>
                <c:ptCount val="5"/>
                <c:pt idx="1">
                  <c:v>20.65</c:v>
                </c:pt>
                <c:pt idx="2">
                  <c:v>25.55</c:v>
                </c:pt>
              </c:numCache>
            </c:numRef>
          </c:val>
        </c:ser>
        <c:marker val="1"/>
        <c:axId val="72992256"/>
        <c:axId val="72994176"/>
      </c:lineChart>
      <c:dateAx>
        <c:axId val="72992256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994176"/>
        <c:crosses val="autoZero"/>
        <c:auto val="1"/>
        <c:lblOffset val="100"/>
        <c:majorUnit val="10"/>
        <c:majorTimeUnit val="days"/>
      </c:dateAx>
      <c:valAx>
        <c:axId val="72994176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2992256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1.1545576533909583E-2"/>
          <c:y val="0.91600362875889563"/>
          <c:w val="0.97690884693218183"/>
          <c:h val="7.0881619399919313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731707317073172E-2"/>
          <c:y val="8.8351163441021119E-2"/>
          <c:w val="0.93338211382113756"/>
          <c:h val="0.74138469753542235"/>
        </c:manualLayout>
      </c:layout>
      <c:lineChart>
        <c:grouping val="standard"/>
        <c:ser>
          <c:idx val="0"/>
          <c:order val="0"/>
          <c:tx>
            <c:strRef>
              <c:f>'Data for Graphs'!$B$325</c:f>
              <c:strCache>
                <c:ptCount val="1"/>
                <c:pt idx="0">
                  <c:v>Redman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Graphs'!$A$326:$A$330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Graphs'!$B$326:$B$330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2.16</c:v>
                </c:pt>
                <c:pt idx="2">
                  <c:v>1.28</c:v>
                </c:pt>
                <c:pt idx="3">
                  <c:v>1.24</c:v>
                </c:pt>
                <c:pt idx="4">
                  <c:v>2.35</c:v>
                </c:pt>
              </c:numCache>
            </c:numRef>
          </c:val>
        </c:ser>
        <c:ser>
          <c:idx val="1"/>
          <c:order val="1"/>
          <c:tx>
            <c:strRef>
              <c:f>'Data for Graphs'!$C$325</c:f>
              <c:strCache>
                <c:ptCount val="1"/>
                <c:pt idx="0">
                  <c:v>Redman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Graphs'!$A$326:$A$330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Graphs'!$C$326:$C$330</c:f>
              <c:numCache>
                <c:formatCode>General</c:formatCode>
                <c:ptCount val="5"/>
                <c:pt idx="0">
                  <c:v>2.2000000000000002</c:v>
                </c:pt>
                <c:pt idx="1">
                  <c:v>1.91</c:v>
                </c:pt>
                <c:pt idx="2">
                  <c:v>1.04</c:v>
                </c:pt>
                <c:pt idx="3">
                  <c:v>1.07</c:v>
                </c:pt>
                <c:pt idx="4">
                  <c:v>1.29</c:v>
                </c:pt>
              </c:numCache>
            </c:numRef>
          </c:val>
        </c:ser>
        <c:ser>
          <c:idx val="2"/>
          <c:order val="2"/>
          <c:tx>
            <c:strRef>
              <c:f>'Data for Graphs'!$D$325</c:f>
              <c:strCache>
                <c:ptCount val="1"/>
                <c:pt idx="0">
                  <c:v>Redman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Graphs'!$A$326:$A$330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Graphs'!$D$326:$D$330</c:f>
              <c:numCache>
                <c:formatCode>General</c:formatCode>
                <c:ptCount val="5"/>
                <c:pt idx="0">
                  <c:v>1.79</c:v>
                </c:pt>
                <c:pt idx="1">
                  <c:v>1.56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1.04</c:v>
                </c:pt>
              </c:numCache>
            </c:numRef>
          </c:val>
        </c:ser>
        <c:ser>
          <c:idx val="3"/>
          <c:order val="3"/>
          <c:tx>
            <c:strRef>
              <c:f>'Data for Graphs'!$E$325</c:f>
              <c:strCache>
                <c:ptCount val="1"/>
                <c:pt idx="0">
                  <c:v>Redman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Graphs'!$A$326:$A$330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Graphs'!$E$326:$E$330</c:f>
              <c:numCache>
                <c:formatCode>General</c:formatCode>
                <c:ptCount val="5"/>
                <c:pt idx="1">
                  <c:v>1.67</c:v>
                </c:pt>
                <c:pt idx="2">
                  <c:v>1.41</c:v>
                </c:pt>
              </c:numCache>
            </c:numRef>
          </c:val>
        </c:ser>
        <c:marker val="1"/>
        <c:axId val="73295360"/>
        <c:axId val="73297280"/>
      </c:lineChart>
      <c:dateAx>
        <c:axId val="73295360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97280"/>
        <c:crosses val="autoZero"/>
        <c:auto val="1"/>
        <c:lblOffset val="100"/>
        <c:majorUnit val="10"/>
        <c:majorTimeUnit val="days"/>
      </c:dateAx>
      <c:valAx>
        <c:axId val="73297280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9536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Graphs'!$H$325</c:f>
              <c:strCache>
                <c:ptCount val="1"/>
                <c:pt idx="0">
                  <c:v>Redman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Graphs'!$G$326:$G$330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Graphs'!$H$326:$H$330</c:f>
              <c:numCache>
                <c:formatCode>General</c:formatCode>
                <c:ptCount val="5"/>
                <c:pt idx="0">
                  <c:v>30.45</c:v>
                </c:pt>
                <c:pt idx="1">
                  <c:v>24.15</c:v>
                </c:pt>
                <c:pt idx="2">
                  <c:v>32.549999999999997</c:v>
                </c:pt>
                <c:pt idx="3">
                  <c:v>35.35</c:v>
                </c:pt>
                <c:pt idx="4">
                  <c:v>38.85</c:v>
                </c:pt>
              </c:numCache>
            </c:numRef>
          </c:val>
        </c:ser>
        <c:ser>
          <c:idx val="1"/>
          <c:order val="1"/>
          <c:tx>
            <c:strRef>
              <c:f>'Data for Graphs'!$I$325</c:f>
              <c:strCache>
                <c:ptCount val="1"/>
                <c:pt idx="0">
                  <c:v>Redman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Graphs'!$G$326:$G$330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Graphs'!$I$326:$I$330</c:f>
              <c:numCache>
                <c:formatCode>General</c:formatCode>
                <c:ptCount val="5"/>
                <c:pt idx="0">
                  <c:v>26.95</c:v>
                </c:pt>
                <c:pt idx="1">
                  <c:v>19.25</c:v>
                </c:pt>
                <c:pt idx="2">
                  <c:v>31.85</c:v>
                </c:pt>
                <c:pt idx="3">
                  <c:v>36.75</c:v>
                </c:pt>
                <c:pt idx="4">
                  <c:v>43.4</c:v>
                </c:pt>
              </c:numCache>
            </c:numRef>
          </c:val>
        </c:ser>
        <c:ser>
          <c:idx val="2"/>
          <c:order val="2"/>
          <c:tx>
            <c:strRef>
              <c:f>'Data for Graphs'!$J$325</c:f>
              <c:strCache>
                <c:ptCount val="1"/>
                <c:pt idx="0">
                  <c:v>Redman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Graphs'!$G$326:$G$330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Graphs'!$J$326:$J$330</c:f>
              <c:numCache>
                <c:formatCode>General</c:formatCode>
                <c:ptCount val="5"/>
                <c:pt idx="0">
                  <c:v>25.2</c:v>
                </c:pt>
                <c:pt idx="1">
                  <c:v>18.899999999999999</c:v>
                </c:pt>
                <c:pt idx="2">
                  <c:v>25.9</c:v>
                </c:pt>
                <c:pt idx="3">
                  <c:v>44.45</c:v>
                </c:pt>
                <c:pt idx="4">
                  <c:v>45.15</c:v>
                </c:pt>
              </c:numCache>
            </c:numRef>
          </c:val>
        </c:ser>
        <c:ser>
          <c:idx val="3"/>
          <c:order val="3"/>
          <c:tx>
            <c:strRef>
              <c:f>'Data for Graphs'!$K$325</c:f>
              <c:strCache>
                <c:ptCount val="1"/>
                <c:pt idx="0">
                  <c:v>Redman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Graphs'!$G$326:$G$330</c:f>
              <c:numCache>
                <c:formatCode>m/d/yyyy</c:formatCode>
                <c:ptCount val="5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40650</c:v>
                </c:pt>
                <c:pt idx="4">
                  <c:v>40704</c:v>
                </c:pt>
              </c:numCache>
            </c:numRef>
          </c:cat>
          <c:val>
            <c:numRef>
              <c:f>'Data for Graphs'!$K$326:$K$330</c:f>
              <c:numCache>
                <c:formatCode>General</c:formatCode>
                <c:ptCount val="5"/>
                <c:pt idx="1">
                  <c:v>20.65</c:v>
                </c:pt>
                <c:pt idx="2">
                  <c:v>28.35</c:v>
                </c:pt>
              </c:numCache>
            </c:numRef>
          </c:val>
        </c:ser>
        <c:marker val="1"/>
        <c:axId val="73209344"/>
        <c:axId val="73210880"/>
      </c:lineChart>
      <c:dateAx>
        <c:axId val="73209344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10880"/>
        <c:crosses val="autoZero"/>
        <c:auto val="1"/>
        <c:lblOffset val="100"/>
        <c:majorUnit val="10"/>
        <c:majorTimeUnit val="days"/>
      </c:dateAx>
      <c:valAx>
        <c:axId val="73210880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09344"/>
        <c:crosses val="autoZero"/>
        <c:crossBetween val="between"/>
        <c:majorUnit val="75"/>
      </c:valAx>
    </c:plotArea>
    <c:legend>
      <c:legendPos val="b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8731707317073172E-2"/>
          <c:y val="8.8351163441021216E-2"/>
          <c:w val="0.93338211382113756"/>
          <c:h val="0.74138469753542291"/>
        </c:manualLayout>
      </c:layout>
      <c:lineChart>
        <c:grouping val="standard"/>
        <c:ser>
          <c:idx val="0"/>
          <c:order val="0"/>
          <c:tx>
            <c:strRef>
              <c:f>'Data for Graphs'!$B$332</c:f>
              <c:strCache>
                <c:ptCount val="1"/>
                <c:pt idx="0">
                  <c:v>Schultz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Graphs'!$A$333:$A$336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Graphs'!$B$333:$B$336</c:f>
              <c:numCache>
                <c:formatCode>General</c:formatCode>
                <c:ptCount val="4"/>
                <c:pt idx="0">
                  <c:v>5.54</c:v>
                </c:pt>
                <c:pt idx="1">
                  <c:v>4.76</c:v>
                </c:pt>
                <c:pt idx="2">
                  <c:v>3.52</c:v>
                </c:pt>
                <c:pt idx="3">
                  <c:v>4.33</c:v>
                </c:pt>
              </c:numCache>
            </c:numRef>
          </c:val>
        </c:ser>
        <c:ser>
          <c:idx val="1"/>
          <c:order val="1"/>
          <c:tx>
            <c:strRef>
              <c:f>'Data for Graphs'!$C$332</c:f>
              <c:strCache>
                <c:ptCount val="1"/>
                <c:pt idx="0">
                  <c:v>Schultz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Graphs'!$A$333:$A$336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Graphs'!$C$333:$C$336</c:f>
              <c:numCache>
                <c:formatCode>General</c:formatCode>
                <c:ptCount val="4"/>
                <c:pt idx="0">
                  <c:v>2.65</c:v>
                </c:pt>
                <c:pt idx="1">
                  <c:v>3.65</c:v>
                </c:pt>
                <c:pt idx="2">
                  <c:v>3.75</c:v>
                </c:pt>
                <c:pt idx="3">
                  <c:v>4.1399999999999997</c:v>
                </c:pt>
              </c:numCache>
            </c:numRef>
          </c:val>
        </c:ser>
        <c:ser>
          <c:idx val="2"/>
          <c:order val="2"/>
          <c:tx>
            <c:strRef>
              <c:f>'Data for Graphs'!$D$332</c:f>
              <c:strCache>
                <c:ptCount val="1"/>
                <c:pt idx="0">
                  <c:v>Schultz 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Graphs'!$A$333:$A$336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Graphs'!$D$333:$D$336</c:f>
              <c:numCache>
                <c:formatCode>General</c:formatCode>
                <c:ptCount val="4"/>
                <c:pt idx="0">
                  <c:v>3.63</c:v>
                </c:pt>
                <c:pt idx="1">
                  <c:v>3.78</c:v>
                </c:pt>
                <c:pt idx="2">
                  <c:v>2.15</c:v>
                </c:pt>
                <c:pt idx="3">
                  <c:v>4.37</c:v>
                </c:pt>
              </c:numCache>
            </c:numRef>
          </c:val>
        </c:ser>
        <c:ser>
          <c:idx val="3"/>
          <c:order val="3"/>
          <c:tx>
            <c:strRef>
              <c:f>'Data for Graphs'!$E$332</c:f>
              <c:strCache>
                <c:ptCount val="1"/>
                <c:pt idx="0">
                  <c:v>Schultz 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Graphs'!$A$333:$A$336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Graphs'!$E$333:$E$336</c:f>
              <c:numCache>
                <c:formatCode>General</c:formatCode>
                <c:ptCount val="4"/>
                <c:pt idx="1">
                  <c:v>3.04</c:v>
                </c:pt>
                <c:pt idx="2">
                  <c:v>2.5299999999999998</c:v>
                </c:pt>
              </c:numCache>
            </c:numRef>
          </c:val>
        </c:ser>
        <c:marker val="1"/>
        <c:axId val="73262208"/>
        <c:axId val="73264128"/>
      </c:lineChart>
      <c:dateAx>
        <c:axId val="73262208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64128"/>
        <c:crosses val="autoZero"/>
        <c:auto val="1"/>
        <c:lblOffset val="100"/>
        <c:majorUnit val="10"/>
        <c:majorTimeUnit val="days"/>
      </c:dateAx>
      <c:valAx>
        <c:axId val="73264128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326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048780487804899E-3"/>
          <c:y val="0.92960486147623311"/>
          <c:w val="0.972390243902439"/>
          <c:h val="7.0395138523766901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Graphs'!$H$332</c:f>
              <c:strCache>
                <c:ptCount val="1"/>
                <c:pt idx="0">
                  <c:v>Schultz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Graphs'!$G$333:$G$336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Graphs'!$H$333:$H$336</c:f>
              <c:numCache>
                <c:formatCode>General</c:formatCode>
                <c:ptCount val="4"/>
                <c:pt idx="0">
                  <c:v>131.25</c:v>
                </c:pt>
                <c:pt idx="1">
                  <c:v>93.1</c:v>
                </c:pt>
                <c:pt idx="2">
                  <c:v>76.3</c:v>
                </c:pt>
                <c:pt idx="3">
                  <c:v>364</c:v>
                </c:pt>
              </c:numCache>
            </c:numRef>
          </c:val>
        </c:ser>
        <c:ser>
          <c:idx val="1"/>
          <c:order val="1"/>
          <c:tx>
            <c:strRef>
              <c:f>'Data for Graphs'!$I$332</c:f>
              <c:strCache>
                <c:ptCount val="1"/>
                <c:pt idx="0">
                  <c:v>Schultz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Graphs'!$G$333:$G$336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Graphs'!$I$333:$I$336</c:f>
              <c:numCache>
                <c:formatCode>General</c:formatCode>
                <c:ptCount val="4"/>
                <c:pt idx="0">
                  <c:v>137.9</c:v>
                </c:pt>
                <c:pt idx="1">
                  <c:v>79.099999999999994</c:v>
                </c:pt>
                <c:pt idx="2">
                  <c:v>146.30000000000001</c:v>
                </c:pt>
                <c:pt idx="3">
                  <c:v>360.5</c:v>
                </c:pt>
              </c:numCache>
            </c:numRef>
          </c:val>
        </c:ser>
        <c:ser>
          <c:idx val="2"/>
          <c:order val="2"/>
          <c:tx>
            <c:strRef>
              <c:f>'Data for Graphs'!$J$332</c:f>
              <c:strCache>
                <c:ptCount val="1"/>
                <c:pt idx="0">
                  <c:v>Schultz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Graphs'!$G$333:$G$336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Graphs'!$J$333:$J$336</c:f>
              <c:numCache>
                <c:formatCode>General</c:formatCode>
                <c:ptCount val="4"/>
                <c:pt idx="0">
                  <c:v>232.4</c:v>
                </c:pt>
                <c:pt idx="1">
                  <c:v>126.7</c:v>
                </c:pt>
                <c:pt idx="2">
                  <c:v>105</c:v>
                </c:pt>
                <c:pt idx="3">
                  <c:v>353.5</c:v>
                </c:pt>
              </c:numCache>
            </c:numRef>
          </c:val>
        </c:ser>
        <c:ser>
          <c:idx val="3"/>
          <c:order val="3"/>
          <c:tx>
            <c:strRef>
              <c:f>'Data for Graphs'!$K$332</c:f>
              <c:strCache>
                <c:ptCount val="1"/>
                <c:pt idx="0">
                  <c:v>Schultz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Graphs'!$G$333:$G$336</c:f>
              <c:numCache>
                <c:formatCode>m/d/yyyy</c:formatCode>
                <c:ptCount val="4"/>
                <c:pt idx="0">
                  <c:v>40516</c:v>
                </c:pt>
                <c:pt idx="1">
                  <c:v>40552</c:v>
                </c:pt>
                <c:pt idx="2">
                  <c:v>40580</c:v>
                </c:pt>
                <c:pt idx="3">
                  <c:v>40704</c:v>
                </c:pt>
              </c:numCache>
            </c:numRef>
          </c:cat>
          <c:val>
            <c:numRef>
              <c:f>'Data for Graphs'!$K$333:$K$336</c:f>
              <c:numCache>
                <c:formatCode>General</c:formatCode>
                <c:ptCount val="4"/>
                <c:pt idx="1">
                  <c:v>186.2</c:v>
                </c:pt>
                <c:pt idx="2">
                  <c:v>107.45</c:v>
                </c:pt>
              </c:numCache>
            </c:numRef>
          </c:val>
        </c:ser>
        <c:marker val="1"/>
        <c:axId val="70190592"/>
        <c:axId val="70192128"/>
      </c:lineChart>
      <c:dateAx>
        <c:axId val="70190592"/>
        <c:scaling>
          <c:orientation val="minMax"/>
          <c:max val="40724"/>
          <c:min val="40513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192128"/>
        <c:crosses val="autoZero"/>
        <c:auto val="1"/>
        <c:lblOffset val="100"/>
        <c:majorUnit val="10"/>
        <c:majorTimeUnit val="days"/>
      </c:dateAx>
      <c:valAx>
        <c:axId val="70192128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190592"/>
        <c:crosses val="autoZero"/>
        <c:crossBetween val="between"/>
        <c:majorUnit val="75"/>
      </c:valAx>
    </c:plotArea>
    <c:legend>
      <c:legendPos val="b"/>
      <c:layout>
        <c:manualLayout>
          <c:xMode val="edge"/>
          <c:yMode val="edge"/>
          <c:x val="3.4319852335193799E-3"/>
          <c:y val="0.92911838060008078"/>
          <c:w val="0.98177700171241356"/>
          <c:h val="7.0881619399919313E-2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5882505044750022E-2"/>
          <c:y val="8.8766089701681289E-2"/>
          <c:w val="0.92653935496405038"/>
          <c:h val="0.71399833455176565"/>
        </c:manualLayout>
      </c:layout>
      <c:lineChart>
        <c:grouping val="standard"/>
        <c:ser>
          <c:idx val="0"/>
          <c:order val="0"/>
          <c:tx>
            <c:strRef>
              <c:f>'Data for Graphs'!$H$35</c:f>
              <c:strCache>
                <c:ptCount val="1"/>
                <c:pt idx="0">
                  <c:v>Eclipse Block II,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Graphs'!$G$36:$G$52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Graphs'!$H$36:$H$52</c:f>
              <c:numCache>
                <c:formatCode>General</c:formatCode>
                <c:ptCount val="17"/>
                <c:pt idx="6">
                  <c:v>416.5</c:v>
                </c:pt>
                <c:pt idx="7">
                  <c:v>287.7</c:v>
                </c:pt>
                <c:pt idx="8">
                  <c:v>110.25</c:v>
                </c:pt>
                <c:pt idx="9">
                  <c:v>253.75</c:v>
                </c:pt>
                <c:pt idx="10">
                  <c:v>140</c:v>
                </c:pt>
                <c:pt idx="11">
                  <c:v>103.25</c:v>
                </c:pt>
                <c:pt idx="12">
                  <c:v>130.9</c:v>
                </c:pt>
                <c:pt idx="13">
                  <c:v>52.5</c:v>
                </c:pt>
                <c:pt idx="14">
                  <c:v>102.9</c:v>
                </c:pt>
                <c:pt idx="15">
                  <c:v>28.7</c:v>
                </c:pt>
                <c:pt idx="16">
                  <c:v>39.549999999999997</c:v>
                </c:pt>
              </c:numCache>
            </c:numRef>
          </c:val>
        </c:ser>
        <c:ser>
          <c:idx val="1"/>
          <c:order val="1"/>
          <c:tx>
            <c:strRef>
              <c:f>'Data for Graphs'!$I$35</c:f>
              <c:strCache>
                <c:ptCount val="1"/>
                <c:pt idx="0">
                  <c:v>Eclipse Block II,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Graphs'!$G$36:$G$52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Graphs'!$I$36:$I$52</c:f>
              <c:numCache>
                <c:formatCode>General</c:formatCode>
                <c:ptCount val="17"/>
                <c:pt idx="6">
                  <c:v>242.55</c:v>
                </c:pt>
                <c:pt idx="7">
                  <c:v>45.15</c:v>
                </c:pt>
                <c:pt idx="8">
                  <c:v>266</c:v>
                </c:pt>
                <c:pt idx="9">
                  <c:v>308</c:v>
                </c:pt>
                <c:pt idx="10">
                  <c:v>185.5</c:v>
                </c:pt>
                <c:pt idx="11">
                  <c:v>71.75</c:v>
                </c:pt>
                <c:pt idx="12">
                  <c:v>112.35</c:v>
                </c:pt>
                <c:pt idx="13">
                  <c:v>53.2</c:v>
                </c:pt>
                <c:pt idx="14">
                  <c:v>81.900000000000006</c:v>
                </c:pt>
                <c:pt idx="15">
                  <c:v>30.45</c:v>
                </c:pt>
                <c:pt idx="16">
                  <c:v>53.9</c:v>
                </c:pt>
              </c:numCache>
            </c:numRef>
          </c:val>
        </c:ser>
        <c:ser>
          <c:idx val="2"/>
          <c:order val="2"/>
          <c:tx>
            <c:strRef>
              <c:f>'Data for Graphs'!$J$35</c:f>
              <c:strCache>
                <c:ptCount val="1"/>
                <c:pt idx="0">
                  <c:v>Eclipse Block II,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Graphs'!$G$36:$G$52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Graphs'!$J$36:$J$52</c:f>
              <c:numCache>
                <c:formatCode>General</c:formatCode>
                <c:ptCount val="17"/>
                <c:pt idx="6">
                  <c:v>199.5</c:v>
                </c:pt>
                <c:pt idx="7">
                  <c:v>141.4</c:v>
                </c:pt>
                <c:pt idx="8">
                  <c:v>126</c:v>
                </c:pt>
                <c:pt idx="9">
                  <c:v>211.75</c:v>
                </c:pt>
                <c:pt idx="10">
                  <c:v>238</c:v>
                </c:pt>
                <c:pt idx="11">
                  <c:v>92.75</c:v>
                </c:pt>
                <c:pt idx="12">
                  <c:v>88.9</c:v>
                </c:pt>
                <c:pt idx="13">
                  <c:v>61.95</c:v>
                </c:pt>
                <c:pt idx="14">
                  <c:v>58.8</c:v>
                </c:pt>
                <c:pt idx="15">
                  <c:v>27.3</c:v>
                </c:pt>
                <c:pt idx="16">
                  <c:v>36.049999999999997</c:v>
                </c:pt>
              </c:numCache>
            </c:numRef>
          </c:val>
        </c:ser>
        <c:ser>
          <c:idx val="3"/>
          <c:order val="3"/>
          <c:tx>
            <c:strRef>
              <c:f>'Data for Graphs'!$K$35</c:f>
              <c:strCache>
                <c:ptCount val="1"/>
                <c:pt idx="0">
                  <c:v>Eclipse Block II,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Graphs'!$G$36:$G$52</c:f>
              <c:numCache>
                <c:formatCode>m/d/yyyy</c:formatCode>
                <c:ptCount val="17"/>
                <c:pt idx="0">
                  <c:v>40336</c:v>
                </c:pt>
                <c:pt idx="1">
                  <c:v>40389</c:v>
                </c:pt>
                <c:pt idx="2">
                  <c:v>40396</c:v>
                </c:pt>
                <c:pt idx="3">
                  <c:v>40408</c:v>
                </c:pt>
                <c:pt idx="4">
                  <c:v>40417</c:v>
                </c:pt>
                <c:pt idx="5">
                  <c:v>40423</c:v>
                </c:pt>
                <c:pt idx="6">
                  <c:v>40430</c:v>
                </c:pt>
                <c:pt idx="7">
                  <c:v>40437</c:v>
                </c:pt>
                <c:pt idx="8">
                  <c:v>40449</c:v>
                </c:pt>
                <c:pt idx="9">
                  <c:v>40453</c:v>
                </c:pt>
                <c:pt idx="10">
                  <c:v>40461</c:v>
                </c:pt>
                <c:pt idx="11">
                  <c:v>40467</c:v>
                </c:pt>
                <c:pt idx="12">
                  <c:v>40497</c:v>
                </c:pt>
                <c:pt idx="13">
                  <c:v>40510</c:v>
                </c:pt>
                <c:pt idx="14">
                  <c:v>40516</c:v>
                </c:pt>
                <c:pt idx="15">
                  <c:v>40555</c:v>
                </c:pt>
                <c:pt idx="16">
                  <c:v>40675</c:v>
                </c:pt>
              </c:numCache>
            </c:numRef>
          </c:cat>
          <c:val>
            <c:numRef>
              <c:f>'Data for Graphs'!$K$36:$K$52</c:f>
              <c:numCache>
                <c:formatCode>General</c:formatCode>
                <c:ptCount val="17"/>
                <c:pt idx="6">
                  <c:v>173.6</c:v>
                </c:pt>
                <c:pt idx="7">
                  <c:v>129.85</c:v>
                </c:pt>
                <c:pt idx="8">
                  <c:v>87.5</c:v>
                </c:pt>
                <c:pt idx="9">
                  <c:v>176.75</c:v>
                </c:pt>
                <c:pt idx="10">
                  <c:v>206.5</c:v>
                </c:pt>
                <c:pt idx="11">
                  <c:v>138.6</c:v>
                </c:pt>
                <c:pt idx="12">
                  <c:v>93.1</c:v>
                </c:pt>
                <c:pt idx="14">
                  <c:v>71.400000000000006</c:v>
                </c:pt>
              </c:numCache>
            </c:numRef>
          </c:val>
        </c:ser>
        <c:marker val="1"/>
        <c:axId val="70126976"/>
        <c:axId val="70141440"/>
      </c:lineChart>
      <c:dateAx>
        <c:axId val="70126976"/>
        <c:scaling>
          <c:orientation val="minMax"/>
          <c:max val="40693"/>
          <c:min val="40422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141440"/>
        <c:crosses val="autoZero"/>
        <c:auto val="1"/>
        <c:lblOffset val="100"/>
        <c:majorUnit val="10"/>
        <c:majorTimeUnit val="days"/>
      </c:dateAx>
      <c:valAx>
        <c:axId val="70141440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126976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Salinity</a:t>
            </a:r>
          </a:p>
        </c:rich>
      </c:tx>
    </c:title>
    <c:plotArea>
      <c:layout>
        <c:manualLayout>
          <c:layoutTarget val="inner"/>
          <c:xMode val="edge"/>
          <c:yMode val="edge"/>
          <c:x val="4.8731707317073172E-2"/>
          <c:y val="8.8351163441020897E-2"/>
          <c:w val="0.93338211382113756"/>
          <c:h val="0.74138469753542102"/>
        </c:manualLayout>
      </c:layout>
      <c:lineChart>
        <c:grouping val="standard"/>
        <c:ser>
          <c:idx val="0"/>
          <c:order val="0"/>
          <c:tx>
            <c:strRef>
              <c:f>'Data for Graphs'!$B$54</c:f>
              <c:strCache>
                <c:ptCount val="1"/>
                <c:pt idx="0">
                  <c:v>Sammis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Graphs'!$A$55:$A$74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Graphs'!$B$55:$B$74</c:f>
              <c:numCache>
                <c:formatCode>General</c:formatCode>
                <c:ptCount val="20"/>
                <c:pt idx="0">
                  <c:v>4.08</c:v>
                </c:pt>
                <c:pt idx="1">
                  <c:v>7.64</c:v>
                </c:pt>
                <c:pt idx="2">
                  <c:v>4.49</c:v>
                </c:pt>
                <c:pt idx="3">
                  <c:v>3.76</c:v>
                </c:pt>
                <c:pt idx="4">
                  <c:v>3.92</c:v>
                </c:pt>
                <c:pt idx="5">
                  <c:v>3.76</c:v>
                </c:pt>
                <c:pt idx="6">
                  <c:v>4.96</c:v>
                </c:pt>
                <c:pt idx="7">
                  <c:v>4.72</c:v>
                </c:pt>
                <c:pt idx="8">
                  <c:v>4.88</c:v>
                </c:pt>
                <c:pt idx="9">
                  <c:v>4.67</c:v>
                </c:pt>
                <c:pt idx="10">
                  <c:v>7.86</c:v>
                </c:pt>
                <c:pt idx="11">
                  <c:v>5.72</c:v>
                </c:pt>
                <c:pt idx="12">
                  <c:v>4.3600000000000003</c:v>
                </c:pt>
                <c:pt idx="13">
                  <c:v>5.1100000000000003</c:v>
                </c:pt>
                <c:pt idx="14">
                  <c:v>5.14</c:v>
                </c:pt>
                <c:pt idx="15">
                  <c:v>5.43</c:v>
                </c:pt>
                <c:pt idx="16">
                  <c:v>4.16</c:v>
                </c:pt>
                <c:pt idx="17">
                  <c:v>4.4800000000000004</c:v>
                </c:pt>
                <c:pt idx="18">
                  <c:v>2.0099999999999998</c:v>
                </c:pt>
                <c:pt idx="19">
                  <c:v>5.69</c:v>
                </c:pt>
              </c:numCache>
            </c:numRef>
          </c:val>
        </c:ser>
        <c:ser>
          <c:idx val="1"/>
          <c:order val="1"/>
          <c:tx>
            <c:strRef>
              <c:f>'Data for Graphs'!$C$54</c:f>
              <c:strCache>
                <c:ptCount val="1"/>
                <c:pt idx="0">
                  <c:v>Sammis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Graphs'!$A$55:$A$74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Graphs'!$C$55:$C$74</c:f>
              <c:numCache>
                <c:formatCode>General</c:formatCode>
                <c:ptCount val="20"/>
                <c:pt idx="0">
                  <c:v>5.98</c:v>
                </c:pt>
                <c:pt idx="1">
                  <c:v>4.26</c:v>
                </c:pt>
                <c:pt idx="2">
                  <c:v>4.43</c:v>
                </c:pt>
                <c:pt idx="3">
                  <c:v>4.2699999999999996</c:v>
                </c:pt>
                <c:pt idx="4">
                  <c:v>3.9</c:v>
                </c:pt>
                <c:pt idx="5">
                  <c:v>4.2699999999999996</c:v>
                </c:pt>
                <c:pt idx="6">
                  <c:v>3.56</c:v>
                </c:pt>
                <c:pt idx="7">
                  <c:v>4.8499999999999996</c:v>
                </c:pt>
                <c:pt idx="8">
                  <c:v>4.7699999999999996</c:v>
                </c:pt>
                <c:pt idx="9">
                  <c:v>6.45</c:v>
                </c:pt>
                <c:pt idx="10">
                  <c:v>4.58</c:v>
                </c:pt>
                <c:pt idx="11">
                  <c:v>4.82</c:v>
                </c:pt>
                <c:pt idx="12">
                  <c:v>6.45</c:v>
                </c:pt>
                <c:pt idx="13">
                  <c:v>12.5</c:v>
                </c:pt>
                <c:pt idx="14">
                  <c:v>11.5</c:v>
                </c:pt>
                <c:pt idx="15">
                  <c:v>5.73</c:v>
                </c:pt>
                <c:pt idx="16">
                  <c:v>12</c:v>
                </c:pt>
                <c:pt idx="17">
                  <c:v>5.31</c:v>
                </c:pt>
                <c:pt idx="18">
                  <c:v>2.91</c:v>
                </c:pt>
                <c:pt idx="19">
                  <c:v>4.92</c:v>
                </c:pt>
              </c:numCache>
            </c:numRef>
          </c:val>
        </c:ser>
        <c:ser>
          <c:idx val="2"/>
          <c:order val="2"/>
          <c:tx>
            <c:strRef>
              <c:f>'Data for Graphs'!$D$54</c:f>
              <c:strCache>
                <c:ptCount val="1"/>
                <c:pt idx="0">
                  <c:v>Sammis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Graphs'!$A$55:$A$74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Graphs'!$D$55:$D$74</c:f>
              <c:numCache>
                <c:formatCode>General</c:formatCode>
                <c:ptCount val="20"/>
                <c:pt idx="0">
                  <c:v>4.75</c:v>
                </c:pt>
                <c:pt idx="1">
                  <c:v>3.47</c:v>
                </c:pt>
                <c:pt idx="2">
                  <c:v>4.08</c:v>
                </c:pt>
                <c:pt idx="3">
                  <c:v>3.31</c:v>
                </c:pt>
                <c:pt idx="4">
                  <c:v>4.1399999999999997</c:v>
                </c:pt>
                <c:pt idx="5">
                  <c:v>3.31</c:v>
                </c:pt>
                <c:pt idx="6">
                  <c:v>3.85</c:v>
                </c:pt>
                <c:pt idx="7">
                  <c:v>3.96</c:v>
                </c:pt>
                <c:pt idx="8">
                  <c:v>4.9400000000000004</c:v>
                </c:pt>
                <c:pt idx="9">
                  <c:v>5.18</c:v>
                </c:pt>
                <c:pt idx="10">
                  <c:v>4.08</c:v>
                </c:pt>
                <c:pt idx="11">
                  <c:v>4.74</c:v>
                </c:pt>
                <c:pt idx="12">
                  <c:v>4.6900000000000004</c:v>
                </c:pt>
                <c:pt idx="13">
                  <c:v>4.6500000000000004</c:v>
                </c:pt>
                <c:pt idx="14">
                  <c:v>4.8600000000000003</c:v>
                </c:pt>
                <c:pt idx="15">
                  <c:v>5.16</c:v>
                </c:pt>
                <c:pt idx="16">
                  <c:v>3.5</c:v>
                </c:pt>
                <c:pt idx="17">
                  <c:v>3.92</c:v>
                </c:pt>
                <c:pt idx="18">
                  <c:v>3.36</c:v>
                </c:pt>
                <c:pt idx="19">
                  <c:v>3.53</c:v>
                </c:pt>
              </c:numCache>
            </c:numRef>
          </c:val>
        </c:ser>
        <c:ser>
          <c:idx val="3"/>
          <c:order val="3"/>
          <c:tx>
            <c:strRef>
              <c:f>'Data for Graphs'!$E$54</c:f>
              <c:strCache>
                <c:ptCount val="1"/>
                <c:pt idx="0">
                  <c:v>Sammis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Graphs'!$A$55:$A$74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Graphs'!$E$55:$E$74</c:f>
              <c:numCache>
                <c:formatCode>General</c:formatCode>
                <c:ptCount val="20"/>
                <c:pt idx="1">
                  <c:v>3.11</c:v>
                </c:pt>
                <c:pt idx="2">
                  <c:v>3.95</c:v>
                </c:pt>
                <c:pt idx="3">
                  <c:v>3.06</c:v>
                </c:pt>
                <c:pt idx="4">
                  <c:v>3.74</c:v>
                </c:pt>
                <c:pt idx="5">
                  <c:v>3.06</c:v>
                </c:pt>
                <c:pt idx="6">
                  <c:v>4.3899999999999997</c:v>
                </c:pt>
                <c:pt idx="7">
                  <c:v>3.9</c:v>
                </c:pt>
                <c:pt idx="8">
                  <c:v>3.94</c:v>
                </c:pt>
                <c:pt idx="9">
                  <c:v>3.42</c:v>
                </c:pt>
                <c:pt idx="10">
                  <c:v>3.81</c:v>
                </c:pt>
                <c:pt idx="11">
                  <c:v>3.65</c:v>
                </c:pt>
                <c:pt idx="12">
                  <c:v>3.35</c:v>
                </c:pt>
                <c:pt idx="13">
                  <c:v>4.55</c:v>
                </c:pt>
                <c:pt idx="15">
                  <c:v>4.4000000000000004</c:v>
                </c:pt>
              </c:numCache>
            </c:numRef>
          </c:val>
        </c:ser>
        <c:marker val="1"/>
        <c:axId val="70352896"/>
        <c:axId val="70354816"/>
      </c:lineChart>
      <c:dateAx>
        <c:axId val="70352896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354816"/>
        <c:crosses val="autoZero"/>
        <c:auto val="1"/>
        <c:lblOffset val="100"/>
        <c:majorUnit val="20"/>
        <c:majorTimeUnit val="days"/>
      </c:dateAx>
      <c:valAx>
        <c:axId val="70354816"/>
        <c:scaling>
          <c:orientation val="minMax"/>
          <c:max val="1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352896"/>
        <c:crosses val="autoZero"/>
        <c:crossBetween val="between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977596741344186E-2"/>
          <c:y val="9.0889972298155833E-2"/>
          <c:w val="0.92509979633401573"/>
          <c:h val="0.72948693736893333"/>
        </c:manualLayout>
      </c:layout>
      <c:lineChart>
        <c:grouping val="standard"/>
        <c:ser>
          <c:idx val="0"/>
          <c:order val="0"/>
          <c:tx>
            <c:strRef>
              <c:f>'Data for Graphs'!$H$76</c:f>
              <c:strCache>
                <c:ptCount val="1"/>
                <c:pt idx="0">
                  <c:v>Sammis Block B,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Graphs'!$G$77:$G$96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Graphs'!$H$77:$H$96</c:f>
              <c:numCache>
                <c:formatCode>General</c:formatCode>
                <c:ptCount val="20"/>
                <c:pt idx="0">
                  <c:v>303.8</c:v>
                </c:pt>
                <c:pt idx="1">
                  <c:v>423.5</c:v>
                </c:pt>
                <c:pt idx="2">
                  <c:v>259.7</c:v>
                </c:pt>
                <c:pt idx="3">
                  <c:v>409.5</c:v>
                </c:pt>
                <c:pt idx="4">
                  <c:v>308</c:v>
                </c:pt>
                <c:pt idx="5">
                  <c:v>299.60000000000002</c:v>
                </c:pt>
                <c:pt idx="6">
                  <c:v>99.75</c:v>
                </c:pt>
                <c:pt idx="7">
                  <c:v>570.5</c:v>
                </c:pt>
                <c:pt idx="8">
                  <c:v>208.95</c:v>
                </c:pt>
                <c:pt idx="9">
                  <c:v>348.25</c:v>
                </c:pt>
                <c:pt idx="10">
                  <c:v>371</c:v>
                </c:pt>
                <c:pt idx="11">
                  <c:v>385</c:v>
                </c:pt>
                <c:pt idx="12">
                  <c:v>215.25</c:v>
                </c:pt>
                <c:pt idx="13">
                  <c:v>353.5</c:v>
                </c:pt>
                <c:pt idx="14">
                  <c:v>143.85</c:v>
                </c:pt>
                <c:pt idx="15">
                  <c:v>206.85</c:v>
                </c:pt>
                <c:pt idx="16">
                  <c:v>11.55</c:v>
                </c:pt>
                <c:pt idx="17">
                  <c:v>167.3</c:v>
                </c:pt>
                <c:pt idx="18">
                  <c:v>57.75</c:v>
                </c:pt>
                <c:pt idx="19">
                  <c:v>163.1</c:v>
                </c:pt>
              </c:numCache>
            </c:numRef>
          </c:val>
        </c:ser>
        <c:ser>
          <c:idx val="1"/>
          <c:order val="1"/>
          <c:tx>
            <c:strRef>
              <c:f>'Data for Graphs'!$I$76</c:f>
              <c:strCache>
                <c:ptCount val="1"/>
                <c:pt idx="0">
                  <c:v>Sammis Block B,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Graphs'!$G$77:$G$96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Graphs'!$I$77:$I$96</c:f>
              <c:numCache>
                <c:formatCode>General</c:formatCode>
                <c:ptCount val="20"/>
                <c:pt idx="0">
                  <c:v>328.65</c:v>
                </c:pt>
                <c:pt idx="1">
                  <c:v>451.5</c:v>
                </c:pt>
                <c:pt idx="2">
                  <c:v>616</c:v>
                </c:pt>
                <c:pt idx="3">
                  <c:v>395.5</c:v>
                </c:pt>
                <c:pt idx="4">
                  <c:v>165.9</c:v>
                </c:pt>
                <c:pt idx="5">
                  <c:v>150.5</c:v>
                </c:pt>
                <c:pt idx="6">
                  <c:v>238</c:v>
                </c:pt>
                <c:pt idx="7">
                  <c:v>332.5</c:v>
                </c:pt>
                <c:pt idx="8">
                  <c:v>290.14999999999998</c:v>
                </c:pt>
                <c:pt idx="9">
                  <c:v>297.14999999999998</c:v>
                </c:pt>
                <c:pt idx="10">
                  <c:v>264.25</c:v>
                </c:pt>
                <c:pt idx="11">
                  <c:v>220.5</c:v>
                </c:pt>
                <c:pt idx="12">
                  <c:v>131.25</c:v>
                </c:pt>
                <c:pt idx="13">
                  <c:v>89.6</c:v>
                </c:pt>
                <c:pt idx="14">
                  <c:v>182.7</c:v>
                </c:pt>
                <c:pt idx="15">
                  <c:v>164.85</c:v>
                </c:pt>
                <c:pt idx="16">
                  <c:v>270.89999999999998</c:v>
                </c:pt>
                <c:pt idx="17">
                  <c:v>109.55</c:v>
                </c:pt>
                <c:pt idx="18">
                  <c:v>44.1</c:v>
                </c:pt>
                <c:pt idx="19">
                  <c:v>118.3</c:v>
                </c:pt>
              </c:numCache>
            </c:numRef>
          </c:val>
        </c:ser>
        <c:ser>
          <c:idx val="2"/>
          <c:order val="2"/>
          <c:tx>
            <c:strRef>
              <c:f>'Data for Graphs'!$J$76</c:f>
              <c:strCache>
                <c:ptCount val="1"/>
                <c:pt idx="0">
                  <c:v>Sammis Block B,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Graphs'!$G$77:$G$96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Graphs'!$J$77:$J$96</c:f>
              <c:numCache>
                <c:formatCode>General</c:formatCode>
                <c:ptCount val="20"/>
                <c:pt idx="0">
                  <c:v>289.10000000000002</c:v>
                </c:pt>
                <c:pt idx="1">
                  <c:v>388.5</c:v>
                </c:pt>
                <c:pt idx="2">
                  <c:v>392</c:v>
                </c:pt>
                <c:pt idx="3">
                  <c:v>416.5</c:v>
                </c:pt>
                <c:pt idx="4">
                  <c:v>183.4</c:v>
                </c:pt>
                <c:pt idx="5">
                  <c:v>307.3</c:v>
                </c:pt>
                <c:pt idx="6">
                  <c:v>199.15</c:v>
                </c:pt>
                <c:pt idx="7">
                  <c:v>208.6</c:v>
                </c:pt>
                <c:pt idx="8">
                  <c:v>295.39999999999998</c:v>
                </c:pt>
                <c:pt idx="9">
                  <c:v>242.2</c:v>
                </c:pt>
                <c:pt idx="10">
                  <c:v>250.25</c:v>
                </c:pt>
                <c:pt idx="11">
                  <c:v>162.75</c:v>
                </c:pt>
                <c:pt idx="12">
                  <c:v>257.25</c:v>
                </c:pt>
                <c:pt idx="13">
                  <c:v>123.2</c:v>
                </c:pt>
                <c:pt idx="14">
                  <c:v>155.75</c:v>
                </c:pt>
                <c:pt idx="15">
                  <c:v>9.8000000000000007</c:v>
                </c:pt>
                <c:pt idx="16">
                  <c:v>116.9</c:v>
                </c:pt>
                <c:pt idx="17">
                  <c:v>128.80000000000001</c:v>
                </c:pt>
                <c:pt idx="18">
                  <c:v>42.7</c:v>
                </c:pt>
                <c:pt idx="19">
                  <c:v>111.65</c:v>
                </c:pt>
              </c:numCache>
            </c:numRef>
          </c:val>
        </c:ser>
        <c:ser>
          <c:idx val="3"/>
          <c:order val="3"/>
          <c:tx>
            <c:strRef>
              <c:f>'Data for Graphs'!$K$76</c:f>
              <c:strCache>
                <c:ptCount val="1"/>
                <c:pt idx="0">
                  <c:v>Sammis Block B,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Graphs'!$G$77:$G$96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Graphs'!$K$77:$K$96</c:f>
              <c:numCache>
                <c:formatCode>General</c:formatCode>
                <c:ptCount val="20"/>
                <c:pt idx="1">
                  <c:v>225.05</c:v>
                </c:pt>
                <c:pt idx="2">
                  <c:v>374.5</c:v>
                </c:pt>
                <c:pt idx="3">
                  <c:v>318.5</c:v>
                </c:pt>
                <c:pt idx="4">
                  <c:v>344.4</c:v>
                </c:pt>
                <c:pt idx="5">
                  <c:v>217</c:v>
                </c:pt>
                <c:pt idx="6">
                  <c:v>136.5</c:v>
                </c:pt>
                <c:pt idx="7">
                  <c:v>338.5</c:v>
                </c:pt>
                <c:pt idx="8">
                  <c:v>146.30000000000001</c:v>
                </c:pt>
                <c:pt idx="9">
                  <c:v>430.5</c:v>
                </c:pt>
                <c:pt idx="10">
                  <c:v>191.8</c:v>
                </c:pt>
                <c:pt idx="11">
                  <c:v>346.5</c:v>
                </c:pt>
                <c:pt idx="12">
                  <c:v>218.75</c:v>
                </c:pt>
                <c:pt idx="13">
                  <c:v>147.35</c:v>
                </c:pt>
                <c:pt idx="15">
                  <c:v>178.15</c:v>
                </c:pt>
              </c:numCache>
            </c:numRef>
          </c:val>
        </c:ser>
        <c:marker val="1"/>
        <c:axId val="69292416"/>
        <c:axId val="69293952"/>
      </c:lineChart>
      <c:dateAx>
        <c:axId val="69292416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293952"/>
        <c:crosses val="autoZero"/>
        <c:auto val="1"/>
        <c:lblOffset val="100"/>
        <c:majorUnit val="20"/>
        <c:majorTimeUnit val="days"/>
      </c:dateAx>
      <c:valAx>
        <c:axId val="69293952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292416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Chloride</a:t>
            </a:r>
          </a:p>
        </c:rich>
      </c:tx>
    </c:title>
    <c:plotArea>
      <c:layout>
        <c:manualLayout>
          <c:layoutTarget val="inner"/>
          <c:xMode val="edge"/>
          <c:yMode val="edge"/>
          <c:x val="5.6746457554929033E-2"/>
          <c:y val="8.8961733322708444E-2"/>
          <c:w val="0.92540364158421251"/>
          <c:h val="0.73959748038423812"/>
        </c:manualLayout>
      </c:layout>
      <c:lineChart>
        <c:grouping val="standard"/>
        <c:ser>
          <c:idx val="0"/>
          <c:order val="0"/>
          <c:tx>
            <c:strRef>
              <c:f>'Data for Graphs'!$H$54</c:f>
              <c:strCache>
                <c:ptCount val="1"/>
                <c:pt idx="0">
                  <c:v>Sammis Block A, 0-3"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cat>
            <c:numRef>
              <c:f>'Data for Graphs'!$G$55:$G$74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Graphs'!$H$55:$H$74</c:f>
              <c:numCache>
                <c:formatCode>General</c:formatCode>
                <c:ptCount val="20"/>
                <c:pt idx="0">
                  <c:v>303.8</c:v>
                </c:pt>
                <c:pt idx="1">
                  <c:v>1123.5</c:v>
                </c:pt>
                <c:pt idx="2">
                  <c:v>381.5</c:v>
                </c:pt>
                <c:pt idx="3">
                  <c:v>347.9</c:v>
                </c:pt>
                <c:pt idx="4">
                  <c:v>223.3</c:v>
                </c:pt>
                <c:pt idx="5">
                  <c:v>347.9</c:v>
                </c:pt>
                <c:pt idx="6">
                  <c:v>343</c:v>
                </c:pt>
                <c:pt idx="7">
                  <c:v>321.3</c:v>
                </c:pt>
                <c:pt idx="8">
                  <c:v>381.5</c:v>
                </c:pt>
                <c:pt idx="9">
                  <c:v>282.8</c:v>
                </c:pt>
                <c:pt idx="10">
                  <c:v>420</c:v>
                </c:pt>
                <c:pt idx="11">
                  <c:v>497</c:v>
                </c:pt>
                <c:pt idx="12">
                  <c:v>222.25</c:v>
                </c:pt>
                <c:pt idx="13">
                  <c:v>247.8</c:v>
                </c:pt>
                <c:pt idx="14">
                  <c:v>263.55</c:v>
                </c:pt>
                <c:pt idx="15">
                  <c:v>141.4</c:v>
                </c:pt>
                <c:pt idx="16">
                  <c:v>84.7</c:v>
                </c:pt>
                <c:pt idx="17">
                  <c:v>114.1</c:v>
                </c:pt>
                <c:pt idx="18">
                  <c:v>22.05</c:v>
                </c:pt>
                <c:pt idx="19">
                  <c:v>479.5</c:v>
                </c:pt>
              </c:numCache>
            </c:numRef>
          </c:val>
        </c:ser>
        <c:ser>
          <c:idx val="1"/>
          <c:order val="1"/>
          <c:tx>
            <c:strRef>
              <c:f>'Data for Graphs'!$I$54</c:f>
              <c:strCache>
                <c:ptCount val="1"/>
                <c:pt idx="0">
                  <c:v>Sammis Block A, 3-6"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'Data for Graphs'!$G$55:$G$74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Graphs'!$I$55:$I$74</c:f>
              <c:numCache>
                <c:formatCode>General</c:formatCode>
                <c:ptCount val="20"/>
                <c:pt idx="0">
                  <c:v>328.65</c:v>
                </c:pt>
                <c:pt idx="1">
                  <c:v>353.5</c:v>
                </c:pt>
                <c:pt idx="2">
                  <c:v>378</c:v>
                </c:pt>
                <c:pt idx="3">
                  <c:v>360.5</c:v>
                </c:pt>
                <c:pt idx="4">
                  <c:v>132.30000000000001</c:v>
                </c:pt>
                <c:pt idx="5">
                  <c:v>360.5</c:v>
                </c:pt>
                <c:pt idx="6">
                  <c:v>184.1</c:v>
                </c:pt>
                <c:pt idx="7">
                  <c:v>317.10000000000002</c:v>
                </c:pt>
                <c:pt idx="8">
                  <c:v>333.9</c:v>
                </c:pt>
                <c:pt idx="9">
                  <c:v>89.25</c:v>
                </c:pt>
                <c:pt idx="10">
                  <c:v>222.25</c:v>
                </c:pt>
                <c:pt idx="11">
                  <c:v>218.75</c:v>
                </c:pt>
                <c:pt idx="12">
                  <c:v>112</c:v>
                </c:pt>
                <c:pt idx="13">
                  <c:v>115.5</c:v>
                </c:pt>
                <c:pt idx="14">
                  <c:v>346.5</c:v>
                </c:pt>
                <c:pt idx="15">
                  <c:v>117.25</c:v>
                </c:pt>
                <c:pt idx="16">
                  <c:v>96.6</c:v>
                </c:pt>
                <c:pt idx="17">
                  <c:v>118.65</c:v>
                </c:pt>
                <c:pt idx="18">
                  <c:v>20.3</c:v>
                </c:pt>
                <c:pt idx="19">
                  <c:v>141.75</c:v>
                </c:pt>
              </c:numCache>
            </c:numRef>
          </c:val>
        </c:ser>
        <c:ser>
          <c:idx val="2"/>
          <c:order val="2"/>
          <c:tx>
            <c:strRef>
              <c:f>'Data for Graphs'!$J$54</c:f>
              <c:strCache>
                <c:ptCount val="1"/>
                <c:pt idx="0">
                  <c:v>Sammis Block A, 6-12"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'Data for Graphs'!$G$55:$G$74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Graphs'!$J$55:$J$74</c:f>
              <c:numCache>
                <c:formatCode>General</c:formatCode>
                <c:ptCount val="20"/>
                <c:pt idx="0">
                  <c:v>289.10000000000002</c:v>
                </c:pt>
                <c:pt idx="1">
                  <c:v>228.9</c:v>
                </c:pt>
                <c:pt idx="2">
                  <c:v>295.39999999999998</c:v>
                </c:pt>
                <c:pt idx="3">
                  <c:v>220.5</c:v>
                </c:pt>
                <c:pt idx="4">
                  <c:v>276.5</c:v>
                </c:pt>
                <c:pt idx="5">
                  <c:v>220.5</c:v>
                </c:pt>
                <c:pt idx="6">
                  <c:v>114.1</c:v>
                </c:pt>
                <c:pt idx="7">
                  <c:v>297.5</c:v>
                </c:pt>
                <c:pt idx="8">
                  <c:v>254.45</c:v>
                </c:pt>
                <c:pt idx="9">
                  <c:v>234.5</c:v>
                </c:pt>
                <c:pt idx="10">
                  <c:v>236.25</c:v>
                </c:pt>
                <c:pt idx="11">
                  <c:v>199.5</c:v>
                </c:pt>
                <c:pt idx="12">
                  <c:v>252</c:v>
                </c:pt>
                <c:pt idx="13">
                  <c:v>153.30000000000001</c:v>
                </c:pt>
                <c:pt idx="14">
                  <c:v>168</c:v>
                </c:pt>
                <c:pt idx="15">
                  <c:v>110.95</c:v>
                </c:pt>
                <c:pt idx="16">
                  <c:v>41.3</c:v>
                </c:pt>
                <c:pt idx="17">
                  <c:v>75.599999999999994</c:v>
                </c:pt>
                <c:pt idx="18">
                  <c:v>42.7</c:v>
                </c:pt>
                <c:pt idx="19">
                  <c:v>120.4</c:v>
                </c:pt>
              </c:numCache>
            </c:numRef>
          </c:val>
        </c:ser>
        <c:ser>
          <c:idx val="3"/>
          <c:order val="3"/>
          <c:tx>
            <c:strRef>
              <c:f>'Data for Graphs'!$K$54</c:f>
              <c:strCache>
                <c:ptCount val="1"/>
                <c:pt idx="0">
                  <c:v>Sammis Block A, 12-18"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'Data for Graphs'!$G$55:$G$74</c:f>
              <c:numCache>
                <c:formatCode>m/d/yyyy</c:formatCode>
                <c:ptCount val="20"/>
                <c:pt idx="0">
                  <c:v>40336</c:v>
                </c:pt>
                <c:pt idx="1">
                  <c:v>40375</c:v>
                </c:pt>
                <c:pt idx="2">
                  <c:v>40389</c:v>
                </c:pt>
                <c:pt idx="3">
                  <c:v>40396</c:v>
                </c:pt>
                <c:pt idx="4">
                  <c:v>40408</c:v>
                </c:pt>
                <c:pt idx="5">
                  <c:v>40417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40448</c:v>
                </c:pt>
                <c:pt idx="10">
                  <c:v>40453</c:v>
                </c:pt>
                <c:pt idx="11">
                  <c:v>40461</c:v>
                </c:pt>
                <c:pt idx="12">
                  <c:v>40467</c:v>
                </c:pt>
                <c:pt idx="13">
                  <c:v>40497</c:v>
                </c:pt>
                <c:pt idx="14">
                  <c:v>40510</c:v>
                </c:pt>
                <c:pt idx="15">
                  <c:v>40516</c:v>
                </c:pt>
                <c:pt idx="16">
                  <c:v>40555</c:v>
                </c:pt>
                <c:pt idx="17">
                  <c:v>40593</c:v>
                </c:pt>
                <c:pt idx="18">
                  <c:v>40631</c:v>
                </c:pt>
                <c:pt idx="19">
                  <c:v>40675</c:v>
                </c:pt>
              </c:numCache>
            </c:numRef>
          </c:cat>
          <c:val>
            <c:numRef>
              <c:f>'Data for Graphs'!$K$55:$K$74</c:f>
              <c:numCache>
                <c:formatCode>General</c:formatCode>
                <c:ptCount val="20"/>
                <c:pt idx="1">
                  <c:v>179.9</c:v>
                </c:pt>
                <c:pt idx="2">
                  <c:v>266</c:v>
                </c:pt>
                <c:pt idx="3">
                  <c:v>217</c:v>
                </c:pt>
                <c:pt idx="4">
                  <c:v>402.5</c:v>
                </c:pt>
                <c:pt idx="5">
                  <c:v>217</c:v>
                </c:pt>
                <c:pt idx="6">
                  <c:v>295.75</c:v>
                </c:pt>
                <c:pt idx="7">
                  <c:v>200.9</c:v>
                </c:pt>
                <c:pt idx="8">
                  <c:v>339.85</c:v>
                </c:pt>
                <c:pt idx="9">
                  <c:v>240.8</c:v>
                </c:pt>
                <c:pt idx="10">
                  <c:v>274.39999999999998</c:v>
                </c:pt>
                <c:pt idx="11">
                  <c:v>221.9</c:v>
                </c:pt>
                <c:pt idx="12">
                  <c:v>258.3</c:v>
                </c:pt>
                <c:pt idx="13">
                  <c:v>297.5</c:v>
                </c:pt>
                <c:pt idx="15">
                  <c:v>159.25</c:v>
                </c:pt>
              </c:numCache>
            </c:numRef>
          </c:val>
        </c:ser>
        <c:marker val="1"/>
        <c:axId val="69331584"/>
        <c:axId val="70386432"/>
      </c:lineChart>
      <c:dateAx>
        <c:axId val="69331584"/>
        <c:scaling>
          <c:orientation val="minMax"/>
          <c:max val="40694"/>
          <c:min val="40330"/>
        </c:scaling>
        <c:axPos val="b"/>
        <c:numFmt formatCode="m/d/yyyy" sourceLinked="1"/>
        <c:maj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0386432"/>
        <c:crosses val="autoZero"/>
        <c:auto val="1"/>
        <c:lblOffset val="100"/>
        <c:majorUnit val="20"/>
        <c:majorTimeUnit val="days"/>
      </c:dateAx>
      <c:valAx>
        <c:axId val="70386432"/>
        <c:scaling>
          <c:orientation val="minMax"/>
          <c:max val="800"/>
          <c:min val="0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69331584"/>
        <c:crosses val="autoZero"/>
        <c:crossBetween val="between"/>
        <c:majorUnit val="75"/>
      </c:valAx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span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2</xdr:row>
      <xdr:rowOff>174492</xdr:rowOff>
    </xdr:from>
    <xdr:to>
      <xdr:col>12</xdr:col>
      <xdr:colOff>585107</xdr:colOff>
      <xdr:row>33</xdr:row>
      <xdr:rowOff>163286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30254</xdr:colOff>
      <xdr:row>36</xdr:row>
      <xdr:rowOff>188099</xdr:rowOff>
    </xdr:from>
    <xdr:to>
      <xdr:col>12</xdr:col>
      <xdr:colOff>585106</xdr:colOff>
      <xdr:row>67</xdr:row>
      <xdr:rowOff>176893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12</xdr:col>
      <xdr:colOff>585107</xdr:colOff>
      <xdr:row>101</xdr:row>
      <xdr:rowOff>136071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14408</xdr:colOff>
      <xdr:row>105</xdr:row>
      <xdr:rowOff>16007</xdr:rowOff>
    </xdr:from>
    <xdr:to>
      <xdr:col>12</xdr:col>
      <xdr:colOff>585106</xdr:colOff>
      <xdr:row>135</xdr:row>
      <xdr:rowOff>149679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27214</xdr:colOff>
      <xdr:row>139</xdr:row>
      <xdr:rowOff>13607</xdr:rowOff>
    </xdr:from>
    <xdr:to>
      <xdr:col>12</xdr:col>
      <xdr:colOff>571500</xdr:colOff>
      <xdr:row>169</xdr:row>
      <xdr:rowOff>149679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173</xdr:row>
      <xdr:rowOff>54429</xdr:rowOff>
    </xdr:from>
    <xdr:to>
      <xdr:col>12</xdr:col>
      <xdr:colOff>599514</xdr:colOff>
      <xdr:row>203</xdr:row>
      <xdr:rowOff>162486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381001</xdr:colOff>
      <xdr:row>3</xdr:row>
      <xdr:rowOff>95250</xdr:rowOff>
    </xdr:from>
    <xdr:ext cx="2448171" cy="264560"/>
    <xdr:sp macro="" textlink="">
      <xdr:nvSpPr>
        <xdr:cNvPr id="10" name="TextBox 9"/>
        <xdr:cNvSpPr txBox="1"/>
      </xdr:nvSpPr>
      <xdr:spPr>
        <a:xfrm>
          <a:off x="5279572" y="666750"/>
          <a:ext cx="24481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10/10/2010</a:t>
          </a:r>
          <a:endParaRPr lang="en-US" sz="1100"/>
        </a:p>
      </xdr:txBody>
    </xdr:sp>
    <xdr:clientData/>
  </xdr:oneCellAnchor>
  <xdr:oneCellAnchor>
    <xdr:from>
      <xdr:col>8</xdr:col>
      <xdr:colOff>438151</xdr:colOff>
      <xdr:row>38</xdr:row>
      <xdr:rowOff>166007</xdr:rowOff>
    </xdr:from>
    <xdr:ext cx="2448171" cy="264560"/>
    <xdr:sp macro="" textlink="">
      <xdr:nvSpPr>
        <xdr:cNvPr id="11" name="TextBox 10"/>
        <xdr:cNvSpPr txBox="1"/>
      </xdr:nvSpPr>
      <xdr:spPr>
        <a:xfrm>
          <a:off x="5336722" y="7405007"/>
          <a:ext cx="24481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10/10/2010</a:t>
          </a:r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571500</xdr:colOff>
      <xdr:row>33</xdr:row>
      <xdr:rowOff>135404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587374</xdr:colOff>
      <xdr:row>67</xdr:row>
      <xdr:rowOff>95251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571500</xdr:colOff>
      <xdr:row>33</xdr:row>
      <xdr:rowOff>135404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587374</xdr:colOff>
      <xdr:row>67</xdr:row>
      <xdr:rowOff>95251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15876</xdr:rowOff>
    </xdr:from>
    <xdr:to>
      <xdr:col>12</xdr:col>
      <xdr:colOff>571500</xdr:colOff>
      <xdr:row>33</xdr:row>
      <xdr:rowOff>151280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190499</xdr:rowOff>
    </xdr:from>
    <xdr:to>
      <xdr:col>12</xdr:col>
      <xdr:colOff>587374</xdr:colOff>
      <xdr:row>67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15876</xdr:rowOff>
    </xdr:from>
    <xdr:to>
      <xdr:col>12</xdr:col>
      <xdr:colOff>571500</xdr:colOff>
      <xdr:row>33</xdr:row>
      <xdr:rowOff>151280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105</xdr:row>
      <xdr:rowOff>6350</xdr:rowOff>
    </xdr:from>
    <xdr:to>
      <xdr:col>12</xdr:col>
      <xdr:colOff>587374</xdr:colOff>
      <xdr:row>134</xdr:row>
      <xdr:rowOff>168836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190499</xdr:rowOff>
    </xdr:from>
    <xdr:to>
      <xdr:col>12</xdr:col>
      <xdr:colOff>587374</xdr:colOff>
      <xdr:row>67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12</xdr:col>
      <xdr:colOff>587374</xdr:colOff>
      <xdr:row>101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587374</xdr:colOff>
      <xdr:row>33</xdr:row>
      <xdr:rowOff>174625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37</xdr:row>
      <xdr:rowOff>0</xdr:rowOff>
    </xdr:from>
    <xdr:to>
      <xdr:col>12</xdr:col>
      <xdr:colOff>587374</xdr:colOff>
      <xdr:row>68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31750</xdr:rowOff>
    </xdr:from>
    <xdr:to>
      <xdr:col>12</xdr:col>
      <xdr:colOff>555624</xdr:colOff>
      <xdr:row>101</xdr:row>
      <xdr:rowOff>151279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34924</xdr:colOff>
      <xdr:row>105</xdr:row>
      <xdr:rowOff>22224</xdr:rowOff>
    </xdr:from>
    <xdr:to>
      <xdr:col>12</xdr:col>
      <xdr:colOff>571499</xdr:colOff>
      <xdr:row>135</xdr:row>
      <xdr:rowOff>126999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31749</xdr:colOff>
      <xdr:row>139</xdr:row>
      <xdr:rowOff>15875</xdr:rowOff>
    </xdr:from>
    <xdr:to>
      <xdr:col>12</xdr:col>
      <xdr:colOff>587374</xdr:colOff>
      <xdr:row>169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22678</xdr:colOff>
      <xdr:row>172</xdr:row>
      <xdr:rowOff>176893</xdr:rowOff>
    </xdr:from>
    <xdr:to>
      <xdr:col>12</xdr:col>
      <xdr:colOff>571500</xdr:colOff>
      <xdr:row>203</xdr:row>
      <xdr:rowOff>174625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317500</xdr:colOff>
      <xdr:row>72</xdr:row>
      <xdr:rowOff>0</xdr:rowOff>
    </xdr:from>
    <xdr:ext cx="2376676" cy="264560"/>
    <xdr:sp macro="" textlink="">
      <xdr:nvSpPr>
        <xdr:cNvPr id="9" name="TextBox 8"/>
        <xdr:cNvSpPr txBox="1"/>
      </xdr:nvSpPr>
      <xdr:spPr>
        <a:xfrm>
          <a:off x="5143500" y="13716000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9/27/2010</a:t>
          </a:r>
          <a:endParaRPr lang="en-US" sz="1100"/>
        </a:p>
      </xdr:txBody>
    </xdr:sp>
    <xdr:clientData/>
  </xdr:oneCellAnchor>
  <xdr:oneCellAnchor>
    <xdr:from>
      <xdr:col>8</xdr:col>
      <xdr:colOff>390525</xdr:colOff>
      <xdr:row>107</xdr:row>
      <xdr:rowOff>25400</xdr:rowOff>
    </xdr:from>
    <xdr:ext cx="2376676" cy="264560"/>
    <xdr:sp macro="" textlink="">
      <xdr:nvSpPr>
        <xdr:cNvPr id="10" name="TextBox 9"/>
        <xdr:cNvSpPr txBox="1"/>
      </xdr:nvSpPr>
      <xdr:spPr>
        <a:xfrm>
          <a:off x="5216525" y="20408900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9/27/2010</a:t>
          </a:r>
          <a:endParaRPr lang="en-US" sz="1100"/>
        </a:p>
      </xdr:txBody>
    </xdr:sp>
    <xdr:clientData/>
  </xdr:oneCellAnchor>
  <xdr:oneCellAnchor>
    <xdr:from>
      <xdr:col>8</xdr:col>
      <xdr:colOff>431800</xdr:colOff>
      <xdr:row>140</xdr:row>
      <xdr:rowOff>3175</xdr:rowOff>
    </xdr:from>
    <xdr:ext cx="2376676" cy="264560"/>
    <xdr:sp macro="" textlink="">
      <xdr:nvSpPr>
        <xdr:cNvPr id="11" name="TextBox 10"/>
        <xdr:cNvSpPr txBox="1"/>
      </xdr:nvSpPr>
      <xdr:spPr>
        <a:xfrm>
          <a:off x="5257800" y="26673175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9/27/2010</a:t>
          </a:r>
          <a:endParaRPr lang="en-US" sz="1100"/>
        </a:p>
      </xdr:txBody>
    </xdr:sp>
    <xdr:clientData/>
  </xdr:oneCellAnchor>
  <xdr:oneCellAnchor>
    <xdr:from>
      <xdr:col>8</xdr:col>
      <xdr:colOff>409575</xdr:colOff>
      <xdr:row>175</xdr:row>
      <xdr:rowOff>60325</xdr:rowOff>
    </xdr:from>
    <xdr:ext cx="2376676" cy="264560"/>
    <xdr:sp macro="" textlink="">
      <xdr:nvSpPr>
        <xdr:cNvPr id="12" name="TextBox 11"/>
        <xdr:cNvSpPr txBox="1"/>
      </xdr:nvSpPr>
      <xdr:spPr>
        <a:xfrm>
          <a:off x="5235575" y="33397825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9/27/2010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69274</xdr:rowOff>
    </xdr:from>
    <xdr:to>
      <xdr:col>12</xdr:col>
      <xdr:colOff>554182</xdr:colOff>
      <xdr:row>101</xdr:row>
      <xdr:rowOff>138546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105</xdr:row>
      <xdr:rowOff>34635</xdr:rowOff>
    </xdr:from>
    <xdr:to>
      <xdr:col>12</xdr:col>
      <xdr:colOff>554182</xdr:colOff>
      <xdr:row>135</xdr:row>
      <xdr:rowOff>138544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207</xdr:row>
      <xdr:rowOff>0</xdr:rowOff>
    </xdr:from>
    <xdr:to>
      <xdr:col>12</xdr:col>
      <xdr:colOff>554182</xdr:colOff>
      <xdr:row>237</xdr:row>
      <xdr:rowOff>138545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31172</xdr:colOff>
      <xdr:row>241</xdr:row>
      <xdr:rowOff>25111</xdr:rowOff>
    </xdr:from>
    <xdr:to>
      <xdr:col>12</xdr:col>
      <xdr:colOff>554182</xdr:colOff>
      <xdr:row>271</xdr:row>
      <xdr:rowOff>121227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275</xdr:row>
      <xdr:rowOff>34636</xdr:rowOff>
    </xdr:from>
    <xdr:to>
      <xdr:col>12</xdr:col>
      <xdr:colOff>554182</xdr:colOff>
      <xdr:row>305</xdr:row>
      <xdr:rowOff>121227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308</xdr:row>
      <xdr:rowOff>180974</xdr:rowOff>
    </xdr:from>
    <xdr:to>
      <xdr:col>12</xdr:col>
      <xdr:colOff>554182</xdr:colOff>
      <xdr:row>339</xdr:row>
      <xdr:rowOff>155863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342</xdr:row>
      <xdr:rowOff>17318</xdr:rowOff>
    </xdr:from>
    <xdr:to>
      <xdr:col>12</xdr:col>
      <xdr:colOff>554182</xdr:colOff>
      <xdr:row>373</xdr:row>
      <xdr:rowOff>138545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375</xdr:row>
      <xdr:rowOff>190499</xdr:rowOff>
    </xdr:from>
    <xdr:to>
      <xdr:col>12</xdr:col>
      <xdr:colOff>554182</xdr:colOff>
      <xdr:row>406</xdr:row>
      <xdr:rowOff>103908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51956</xdr:rowOff>
    </xdr:from>
    <xdr:to>
      <xdr:col>12</xdr:col>
      <xdr:colOff>554182</xdr:colOff>
      <xdr:row>169</xdr:row>
      <xdr:rowOff>138546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31172</xdr:colOff>
      <xdr:row>173</xdr:row>
      <xdr:rowOff>25111</xdr:rowOff>
    </xdr:from>
    <xdr:to>
      <xdr:col>12</xdr:col>
      <xdr:colOff>554182</xdr:colOff>
      <xdr:row>203</xdr:row>
      <xdr:rowOff>121226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36</xdr:row>
      <xdr:rowOff>190499</xdr:rowOff>
    </xdr:from>
    <xdr:to>
      <xdr:col>12</xdr:col>
      <xdr:colOff>571500</xdr:colOff>
      <xdr:row>67</xdr:row>
      <xdr:rowOff>121226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12</xdr:col>
      <xdr:colOff>495300</xdr:colOff>
      <xdr:row>33</xdr:row>
      <xdr:rowOff>135404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63500</xdr:rowOff>
    </xdr:from>
    <xdr:to>
      <xdr:col>12</xdr:col>
      <xdr:colOff>539750</xdr:colOff>
      <xdr:row>169</xdr:row>
      <xdr:rowOff>151279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173</xdr:row>
      <xdr:rowOff>22224</xdr:rowOff>
    </xdr:from>
    <xdr:to>
      <xdr:col>12</xdr:col>
      <xdr:colOff>539750</xdr:colOff>
      <xdr:row>203</xdr:row>
      <xdr:rowOff>126999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15875</xdr:colOff>
      <xdr:row>241</xdr:row>
      <xdr:rowOff>15875</xdr:rowOff>
    </xdr:from>
    <xdr:to>
      <xdr:col>12</xdr:col>
      <xdr:colOff>576356</xdr:colOff>
      <xdr:row>271</xdr:row>
      <xdr:rowOff>146611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207</xdr:row>
      <xdr:rowOff>15875</xdr:rowOff>
    </xdr:from>
    <xdr:to>
      <xdr:col>12</xdr:col>
      <xdr:colOff>523874</xdr:colOff>
      <xdr:row>237</xdr:row>
      <xdr:rowOff>127000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</xdr:row>
      <xdr:rowOff>47626</xdr:rowOff>
    </xdr:from>
    <xdr:to>
      <xdr:col>12</xdr:col>
      <xdr:colOff>539750</xdr:colOff>
      <xdr:row>33</xdr:row>
      <xdr:rowOff>151280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37</xdr:row>
      <xdr:rowOff>53975</xdr:rowOff>
    </xdr:from>
    <xdr:to>
      <xdr:col>12</xdr:col>
      <xdr:colOff>555624</xdr:colOff>
      <xdr:row>67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71</xdr:row>
      <xdr:rowOff>31750</xdr:rowOff>
    </xdr:from>
    <xdr:to>
      <xdr:col>12</xdr:col>
      <xdr:colOff>555624</xdr:colOff>
      <xdr:row>101</xdr:row>
      <xdr:rowOff>151279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9524</xdr:colOff>
      <xdr:row>105</xdr:row>
      <xdr:rowOff>38099</xdr:rowOff>
    </xdr:from>
    <xdr:to>
      <xdr:col>12</xdr:col>
      <xdr:colOff>539749</xdr:colOff>
      <xdr:row>135</xdr:row>
      <xdr:rowOff>142874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8</xdr:col>
      <xdr:colOff>349250</xdr:colOff>
      <xdr:row>142</xdr:row>
      <xdr:rowOff>63500</xdr:rowOff>
    </xdr:from>
    <xdr:ext cx="2376676" cy="264560"/>
    <xdr:sp macro="" textlink="">
      <xdr:nvSpPr>
        <xdr:cNvPr id="10" name="TextBox 9"/>
        <xdr:cNvSpPr txBox="1"/>
      </xdr:nvSpPr>
      <xdr:spPr>
        <a:xfrm>
          <a:off x="5175250" y="27114500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9/17/2010</a:t>
          </a:r>
          <a:endParaRPr lang="en-US" sz="1100"/>
        </a:p>
      </xdr:txBody>
    </xdr:sp>
    <xdr:clientData/>
  </xdr:oneCellAnchor>
  <xdr:oneCellAnchor>
    <xdr:from>
      <xdr:col>8</xdr:col>
      <xdr:colOff>390525</xdr:colOff>
      <xdr:row>175</xdr:row>
      <xdr:rowOff>88900</xdr:rowOff>
    </xdr:from>
    <xdr:ext cx="2376676" cy="264560"/>
    <xdr:sp macro="" textlink="">
      <xdr:nvSpPr>
        <xdr:cNvPr id="11" name="TextBox 10"/>
        <xdr:cNvSpPr txBox="1"/>
      </xdr:nvSpPr>
      <xdr:spPr>
        <a:xfrm>
          <a:off x="5216525" y="33426400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9/17/2010</a:t>
          </a:r>
          <a:endParaRPr lang="en-US" sz="1100"/>
        </a:p>
      </xdr:txBody>
    </xdr:sp>
    <xdr:clientData/>
  </xdr:oneCellAnchor>
  <xdr:oneCellAnchor>
    <xdr:from>
      <xdr:col>8</xdr:col>
      <xdr:colOff>352425</xdr:colOff>
      <xdr:row>208</xdr:row>
      <xdr:rowOff>34925</xdr:rowOff>
    </xdr:from>
    <xdr:ext cx="2376676" cy="264560"/>
    <xdr:sp macro="" textlink="">
      <xdr:nvSpPr>
        <xdr:cNvPr id="12" name="TextBox 11"/>
        <xdr:cNvSpPr txBox="1"/>
      </xdr:nvSpPr>
      <xdr:spPr>
        <a:xfrm>
          <a:off x="5178425" y="39658925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9/17/2010</a:t>
          </a:r>
          <a:endParaRPr lang="en-US" sz="1100"/>
        </a:p>
      </xdr:txBody>
    </xdr:sp>
    <xdr:clientData/>
  </xdr:oneCellAnchor>
  <xdr:oneCellAnchor>
    <xdr:from>
      <xdr:col>8</xdr:col>
      <xdr:colOff>377825</xdr:colOff>
      <xdr:row>243</xdr:row>
      <xdr:rowOff>44450</xdr:rowOff>
    </xdr:from>
    <xdr:ext cx="2376676" cy="264560"/>
    <xdr:sp macro="" textlink="">
      <xdr:nvSpPr>
        <xdr:cNvPr id="13" name="TextBox 12"/>
        <xdr:cNvSpPr txBox="1"/>
      </xdr:nvSpPr>
      <xdr:spPr>
        <a:xfrm>
          <a:off x="5203825" y="46335950"/>
          <a:ext cx="23766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stopped collecting</a:t>
          </a:r>
          <a:r>
            <a:rPr lang="en-US" sz="1100" baseline="0"/>
            <a:t> data  on 9/17/2010</a:t>
          </a: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15876</xdr:rowOff>
    </xdr:from>
    <xdr:to>
      <xdr:col>12</xdr:col>
      <xdr:colOff>571500</xdr:colOff>
      <xdr:row>33</xdr:row>
      <xdr:rowOff>151280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190499</xdr:rowOff>
    </xdr:from>
    <xdr:to>
      <xdr:col>12</xdr:col>
      <xdr:colOff>587374</xdr:colOff>
      <xdr:row>67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12</xdr:col>
      <xdr:colOff>571500</xdr:colOff>
      <xdr:row>101</xdr:row>
      <xdr:rowOff>135404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12</xdr:col>
      <xdr:colOff>587374</xdr:colOff>
      <xdr:row>135</xdr:row>
      <xdr:rowOff>95251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571500</xdr:colOff>
      <xdr:row>33</xdr:row>
      <xdr:rowOff>135404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587374</xdr:colOff>
      <xdr:row>67</xdr:row>
      <xdr:rowOff>95251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12</xdr:col>
      <xdr:colOff>571500</xdr:colOff>
      <xdr:row>101</xdr:row>
      <xdr:rowOff>135404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12</xdr:col>
      <xdr:colOff>587374</xdr:colOff>
      <xdr:row>135</xdr:row>
      <xdr:rowOff>95251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15876</xdr:rowOff>
    </xdr:from>
    <xdr:to>
      <xdr:col>12</xdr:col>
      <xdr:colOff>571500</xdr:colOff>
      <xdr:row>33</xdr:row>
      <xdr:rowOff>151280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587374</xdr:colOff>
      <xdr:row>67</xdr:row>
      <xdr:rowOff>95251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15876</xdr:rowOff>
    </xdr:from>
    <xdr:to>
      <xdr:col>12</xdr:col>
      <xdr:colOff>571500</xdr:colOff>
      <xdr:row>33</xdr:row>
      <xdr:rowOff>151280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190499</xdr:rowOff>
    </xdr:from>
    <xdr:to>
      <xdr:col>12</xdr:col>
      <xdr:colOff>587374</xdr:colOff>
      <xdr:row>67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0"/>
  <sheetViews>
    <sheetView view="pageBreakPreview" topLeftCell="A55" zoomScale="85" zoomScaleNormal="70" zoomScaleSheetLayoutView="85" workbookViewId="0">
      <selection activeCell="J71" sqref="J71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4" width="10.140625" style="1" bestFit="1" customWidth="1"/>
    <col min="5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22" width="10.42578125" style="1" customWidth="1"/>
    <col min="23" max="23" width="0.85546875" style="1" customWidth="1"/>
    <col min="24" max="26" width="10.42578125" style="1" customWidth="1"/>
    <col min="27" max="27" width="0.85546875" style="1" customWidth="1"/>
    <col min="28" max="30" width="10.42578125" style="1" customWidth="1"/>
    <col min="31" max="31" width="0.85546875" style="1" customWidth="1"/>
    <col min="32" max="34" width="10.42578125" style="1" customWidth="1"/>
    <col min="35" max="35" width="0.85546875" style="1" customWidth="1"/>
    <col min="36" max="38" width="10.42578125" style="1" customWidth="1"/>
    <col min="39" max="39" width="0.85546875" style="1" customWidth="1"/>
    <col min="40" max="42" width="10.42578125" style="1" customWidth="1"/>
    <col min="43" max="43" width="0.85546875" style="1" customWidth="1"/>
    <col min="44" max="46" width="10.42578125" style="1" customWidth="1"/>
    <col min="47" max="47" width="0.85546875" style="1" customWidth="1"/>
    <col min="48" max="50" width="10.42578125" style="1" customWidth="1"/>
    <col min="51" max="51" width="0.85546875" style="1" customWidth="1"/>
    <col min="52" max="54" width="10.42578125" style="1" customWidth="1"/>
    <col min="55" max="55" width="0.85546875" style="1" customWidth="1"/>
    <col min="56" max="58" width="10.42578125" style="1" customWidth="1"/>
    <col min="59" max="59" width="0.85546875" style="1" customWidth="1"/>
    <col min="60" max="62" width="10.42578125" style="1" customWidth="1"/>
    <col min="63" max="63" width="0.85546875" style="1" customWidth="1"/>
    <col min="64" max="66" width="10.42578125" style="1" customWidth="1"/>
    <col min="67" max="67" width="0.85546875" style="1" customWidth="1"/>
    <col min="68" max="16384" width="9.140625" style="1"/>
  </cols>
  <sheetData>
    <row r="1" spans="1:23" ht="23.25">
      <c r="A1" s="86" t="s">
        <v>139</v>
      </c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3" ht="15" thickBot="1"/>
    <row r="3" spans="1:23" ht="15">
      <c r="B3" s="9" t="s">
        <v>9</v>
      </c>
      <c r="D3" s="105" t="s">
        <v>10</v>
      </c>
      <c r="E3" s="106"/>
      <c r="F3" s="107"/>
      <c r="G3" s="3"/>
      <c r="H3" s="108">
        <v>40389</v>
      </c>
      <c r="I3" s="106"/>
      <c r="J3" s="107"/>
      <c r="K3" s="3"/>
      <c r="L3" s="108">
        <v>40396</v>
      </c>
      <c r="M3" s="106"/>
      <c r="N3" s="107"/>
      <c r="O3" s="3"/>
      <c r="P3" s="108">
        <v>40408</v>
      </c>
      <c r="Q3" s="106"/>
      <c r="R3" s="107"/>
      <c r="S3" s="3"/>
      <c r="T3" s="108">
        <v>40417</v>
      </c>
      <c r="U3" s="106"/>
      <c r="V3" s="107"/>
      <c r="W3" s="3"/>
    </row>
    <row r="4" spans="1:23" s="2" customFormat="1" ht="45.75" thickBot="1">
      <c r="C4" s="4"/>
      <c r="D4" s="63" t="s">
        <v>6</v>
      </c>
      <c r="E4" s="61" t="s">
        <v>7</v>
      </c>
      <c r="F4" s="64" t="s">
        <v>8</v>
      </c>
      <c r="G4" s="62"/>
      <c r="H4" s="63" t="s">
        <v>6</v>
      </c>
      <c r="I4" s="61" t="s">
        <v>7</v>
      </c>
      <c r="J4" s="64" t="s">
        <v>8</v>
      </c>
      <c r="K4" s="4"/>
      <c r="L4" s="63" t="s">
        <v>6</v>
      </c>
      <c r="M4" s="61" t="s">
        <v>7</v>
      </c>
      <c r="N4" s="64" t="s">
        <v>8</v>
      </c>
      <c r="O4" s="4"/>
      <c r="P4" s="63" t="s">
        <v>6</v>
      </c>
      <c r="Q4" s="61" t="s">
        <v>7</v>
      </c>
      <c r="R4" s="64" t="s">
        <v>8</v>
      </c>
      <c r="S4" s="4"/>
      <c r="T4" s="63" t="s">
        <v>6</v>
      </c>
      <c r="U4" s="61" t="s">
        <v>7</v>
      </c>
      <c r="V4" s="64" t="s">
        <v>8</v>
      </c>
      <c r="W4" s="4"/>
    </row>
    <row r="5" spans="1:23" ht="5.0999999999999996" customHeight="1" thickBot="1">
      <c r="A5" s="17"/>
      <c r="B5" s="17"/>
      <c r="C5" s="13"/>
      <c r="D5" s="13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23.1" customHeight="1">
      <c r="A6" s="109" t="s">
        <v>0</v>
      </c>
      <c r="B6" s="6" t="s">
        <v>1</v>
      </c>
      <c r="C6" s="13"/>
      <c r="D6" s="10" t="s">
        <v>11</v>
      </c>
      <c r="E6" s="20">
        <v>3.28</v>
      </c>
      <c r="F6" s="21">
        <f>2.5*35</f>
        <v>87.5</v>
      </c>
      <c r="G6" s="27"/>
      <c r="H6" s="28" t="s">
        <v>11</v>
      </c>
      <c r="I6" s="20">
        <v>3.88</v>
      </c>
      <c r="J6" s="21">
        <f>4.3*35</f>
        <v>150.5</v>
      </c>
      <c r="K6" s="27"/>
      <c r="L6" s="28" t="s">
        <v>11</v>
      </c>
      <c r="M6" s="20">
        <v>3.82</v>
      </c>
      <c r="N6" s="21">
        <f>4.52*35</f>
        <v>158.19999999999999</v>
      </c>
      <c r="O6" s="27"/>
      <c r="P6" s="28" t="s">
        <v>11</v>
      </c>
      <c r="Q6" s="20">
        <v>4.3499999999999996</v>
      </c>
      <c r="R6" s="21">
        <f>6.78*35</f>
        <v>237.3</v>
      </c>
      <c r="S6" s="17"/>
      <c r="T6" s="28" t="s">
        <v>11</v>
      </c>
      <c r="U6" s="20">
        <v>4.96</v>
      </c>
      <c r="V6" s="21">
        <f>6.6*35</f>
        <v>231</v>
      </c>
      <c r="W6" s="17"/>
    </row>
    <row r="7" spans="1:23" ht="23.1" customHeight="1">
      <c r="A7" s="110"/>
      <c r="B7" s="7" t="s">
        <v>2</v>
      </c>
      <c r="C7" s="13"/>
      <c r="D7" s="11" t="s">
        <v>11</v>
      </c>
      <c r="E7" s="22">
        <v>3.56</v>
      </c>
      <c r="F7" s="23">
        <f>2.54*35</f>
        <v>88.9</v>
      </c>
      <c r="G7" s="27"/>
      <c r="H7" s="29" t="s">
        <v>11</v>
      </c>
      <c r="I7" s="22">
        <v>3.9</v>
      </c>
      <c r="J7" s="23">
        <f>5.04*35</f>
        <v>176.4</v>
      </c>
      <c r="K7" s="27"/>
      <c r="L7" s="29" t="s">
        <v>11</v>
      </c>
      <c r="M7" s="22">
        <v>3.64</v>
      </c>
      <c r="N7" s="23">
        <f>1.86*35</f>
        <v>65.100000000000009</v>
      </c>
      <c r="O7" s="27"/>
      <c r="P7" s="29" t="s">
        <v>11</v>
      </c>
      <c r="Q7" s="22">
        <v>4.29</v>
      </c>
      <c r="R7" s="23">
        <f>4.08*35</f>
        <v>142.80000000000001</v>
      </c>
      <c r="S7" s="17"/>
      <c r="T7" s="29" t="s">
        <v>11</v>
      </c>
      <c r="U7" s="22">
        <v>5.96</v>
      </c>
      <c r="V7" s="23">
        <f>6.23*35</f>
        <v>218.05</v>
      </c>
      <c r="W7" s="17"/>
    </row>
    <row r="8" spans="1:23" ht="23.1" customHeight="1">
      <c r="A8" s="110"/>
      <c r="B8" s="7" t="s">
        <v>3</v>
      </c>
      <c r="C8" s="13"/>
      <c r="D8" s="11" t="s">
        <v>11</v>
      </c>
      <c r="E8" s="22">
        <v>3.26</v>
      </c>
      <c r="F8" s="23">
        <f>1.9*35</f>
        <v>66.5</v>
      </c>
      <c r="G8" s="27"/>
      <c r="H8" s="29" t="s">
        <v>11</v>
      </c>
      <c r="I8" s="22">
        <v>3.9</v>
      </c>
      <c r="J8" s="23">
        <f>5.16*35</f>
        <v>180.6</v>
      </c>
      <c r="K8" s="27"/>
      <c r="L8" s="29" t="s">
        <v>11</v>
      </c>
      <c r="M8" s="22">
        <v>3.59</v>
      </c>
      <c r="N8" s="23">
        <f>2.48*35</f>
        <v>86.8</v>
      </c>
      <c r="O8" s="27"/>
      <c r="P8" s="29" t="s">
        <v>11</v>
      </c>
      <c r="Q8" s="22">
        <v>3.55</v>
      </c>
      <c r="R8" s="23">
        <f>1.96*35</f>
        <v>68.599999999999994</v>
      </c>
      <c r="S8" s="17"/>
      <c r="T8" s="29" t="s">
        <v>11</v>
      </c>
      <c r="U8" s="22">
        <v>4.51</v>
      </c>
      <c r="V8" s="23">
        <f>5.1*35</f>
        <v>178.5</v>
      </c>
      <c r="W8" s="17"/>
    </row>
    <row r="9" spans="1:23" ht="23.1" customHeight="1" thickBot="1">
      <c r="A9" s="111"/>
      <c r="B9" s="8" t="s">
        <v>4</v>
      </c>
      <c r="C9" s="13"/>
      <c r="D9" s="12" t="s">
        <v>11</v>
      </c>
      <c r="E9" s="46"/>
      <c r="F9" s="47"/>
      <c r="G9" s="27"/>
      <c r="H9" s="30" t="s">
        <v>11</v>
      </c>
      <c r="I9" s="24">
        <v>3.25</v>
      </c>
      <c r="J9" s="25">
        <f>1.98*35</f>
        <v>69.3</v>
      </c>
      <c r="K9" s="27"/>
      <c r="L9" s="30" t="s">
        <v>11</v>
      </c>
      <c r="M9" s="24">
        <v>4.05</v>
      </c>
      <c r="N9" s="25">
        <f>4.72*35</f>
        <v>165.2</v>
      </c>
      <c r="O9" s="27"/>
      <c r="P9" s="30" t="s">
        <v>11</v>
      </c>
      <c r="Q9" s="24">
        <v>4.16</v>
      </c>
      <c r="R9" s="25">
        <f>7.12*35</f>
        <v>249.20000000000002</v>
      </c>
      <c r="S9" s="17"/>
      <c r="T9" s="30" t="s">
        <v>11</v>
      </c>
      <c r="U9" s="24">
        <v>4.83</v>
      </c>
      <c r="V9" s="25">
        <f>7.6*35</f>
        <v>266</v>
      </c>
      <c r="W9" s="17"/>
    </row>
    <row r="10" spans="1:23" s="3" customFormat="1" ht="5.0999999999999996" customHeight="1" thickBot="1">
      <c r="A10" s="14"/>
      <c r="B10" s="15"/>
      <c r="C10" s="13"/>
      <c r="D10" s="16"/>
      <c r="E10" s="26"/>
      <c r="F10" s="26"/>
      <c r="G10" s="31"/>
      <c r="H10" s="32"/>
      <c r="I10" s="26"/>
      <c r="J10" s="26"/>
      <c r="K10" s="31"/>
      <c r="L10" s="32"/>
      <c r="M10" s="26"/>
      <c r="N10" s="26"/>
      <c r="O10" s="31"/>
      <c r="P10" s="32"/>
      <c r="Q10" s="26"/>
      <c r="R10" s="26"/>
      <c r="S10" s="13"/>
      <c r="T10" s="32"/>
      <c r="U10" s="26"/>
      <c r="V10" s="26"/>
      <c r="W10" s="13"/>
    </row>
    <row r="11" spans="1:23" ht="23.1" customHeight="1">
      <c r="A11" s="102" t="s">
        <v>5</v>
      </c>
      <c r="B11" s="6" t="s">
        <v>1</v>
      </c>
      <c r="C11" s="13"/>
      <c r="D11" s="10" t="s">
        <v>12</v>
      </c>
      <c r="E11" s="20">
        <v>3.38</v>
      </c>
      <c r="F11" s="21">
        <f>2.04*35</f>
        <v>71.400000000000006</v>
      </c>
      <c r="G11" s="27"/>
      <c r="H11" s="28" t="s">
        <v>12</v>
      </c>
      <c r="I11" s="20">
        <v>4.2300000000000004</v>
      </c>
      <c r="J11" s="21">
        <f>4.32*35</f>
        <v>151.20000000000002</v>
      </c>
      <c r="K11" s="27"/>
      <c r="L11" s="28" t="s">
        <v>12</v>
      </c>
      <c r="M11" s="20">
        <v>5.0599999999999996</v>
      </c>
      <c r="N11" s="21">
        <f>5.4*35</f>
        <v>189</v>
      </c>
      <c r="O11" s="27"/>
      <c r="P11" s="28" t="s">
        <v>12</v>
      </c>
      <c r="Q11" s="20">
        <v>4.72</v>
      </c>
      <c r="R11" s="21">
        <f>5.9*35</f>
        <v>206.5</v>
      </c>
      <c r="S11" s="17"/>
      <c r="T11" s="28" t="s">
        <v>12</v>
      </c>
      <c r="U11" s="20">
        <v>5.26</v>
      </c>
      <c r="V11" s="21">
        <f>8.1*35</f>
        <v>283.5</v>
      </c>
      <c r="W11" s="17"/>
    </row>
    <row r="12" spans="1:23" ht="23.1" customHeight="1">
      <c r="A12" s="103"/>
      <c r="B12" s="7" t="s">
        <v>2</v>
      </c>
      <c r="C12" s="13"/>
      <c r="D12" s="11" t="s">
        <v>12</v>
      </c>
      <c r="E12" s="22">
        <v>4.04</v>
      </c>
      <c r="F12" s="23">
        <f>2.04*35</f>
        <v>71.400000000000006</v>
      </c>
      <c r="G12" s="27"/>
      <c r="H12" s="29" t="s">
        <v>12</v>
      </c>
      <c r="I12" s="22">
        <v>3.82</v>
      </c>
      <c r="J12" s="23">
        <f>3.92*35</f>
        <v>137.19999999999999</v>
      </c>
      <c r="K12" s="27"/>
      <c r="L12" s="29" t="s">
        <v>12</v>
      </c>
      <c r="M12" s="22">
        <v>4.25</v>
      </c>
      <c r="N12" s="23">
        <f>3.68*35</f>
        <v>128.80000000000001</v>
      </c>
      <c r="O12" s="27"/>
      <c r="P12" s="29" t="s">
        <v>12</v>
      </c>
      <c r="Q12" s="22">
        <v>3.74</v>
      </c>
      <c r="R12" s="23">
        <f>3.26*35</f>
        <v>114.1</v>
      </c>
      <c r="S12" s="17"/>
      <c r="T12" s="29" t="s">
        <v>12</v>
      </c>
      <c r="U12" s="22">
        <v>9.9700000000000006</v>
      </c>
      <c r="V12" s="23">
        <f>8.5*35</f>
        <v>297.5</v>
      </c>
      <c r="W12" s="17"/>
    </row>
    <row r="13" spans="1:23" ht="23.1" customHeight="1">
      <c r="A13" s="103"/>
      <c r="B13" s="7" t="s">
        <v>3</v>
      </c>
      <c r="C13" s="13"/>
      <c r="D13" s="11" t="s">
        <v>12</v>
      </c>
      <c r="E13" s="22">
        <v>3.81</v>
      </c>
      <c r="F13" s="23">
        <f>2.44*35</f>
        <v>85.399999999999991</v>
      </c>
      <c r="G13" s="27"/>
      <c r="H13" s="29" t="s">
        <v>12</v>
      </c>
      <c r="I13" s="22">
        <v>3.88</v>
      </c>
      <c r="J13" s="23">
        <f>5.08*35</f>
        <v>177.8</v>
      </c>
      <c r="K13" s="27"/>
      <c r="L13" s="29" t="s">
        <v>12</v>
      </c>
      <c r="M13" s="22">
        <v>3.44</v>
      </c>
      <c r="N13" s="23">
        <f>2.5*35</f>
        <v>87.5</v>
      </c>
      <c r="O13" s="27"/>
      <c r="P13" s="29" t="s">
        <v>12</v>
      </c>
      <c r="Q13" s="22">
        <v>4.0999999999999996</v>
      </c>
      <c r="R13" s="23">
        <f>3.56*35</f>
        <v>124.60000000000001</v>
      </c>
      <c r="S13" s="17"/>
      <c r="T13" s="29" t="s">
        <v>12</v>
      </c>
      <c r="U13" s="22">
        <v>3.7</v>
      </c>
      <c r="V13" s="23">
        <f>2.82*35</f>
        <v>98.699999999999989</v>
      </c>
      <c r="W13" s="17"/>
    </row>
    <row r="14" spans="1:23" ht="23.1" customHeight="1" thickBot="1">
      <c r="A14" s="104"/>
      <c r="B14" s="8" t="s">
        <v>4</v>
      </c>
      <c r="C14" s="13"/>
      <c r="D14" s="12" t="s">
        <v>12</v>
      </c>
      <c r="E14" s="46"/>
      <c r="F14" s="47"/>
      <c r="G14" s="27"/>
      <c r="H14" s="30" t="s">
        <v>12</v>
      </c>
      <c r="I14" s="24">
        <v>3.76</v>
      </c>
      <c r="J14" s="25">
        <f>3.62*35</f>
        <v>126.7</v>
      </c>
      <c r="K14" s="27"/>
      <c r="L14" s="30" t="s">
        <v>12</v>
      </c>
      <c r="M14" s="24">
        <v>4.09</v>
      </c>
      <c r="N14" s="25">
        <f>7.5*35</f>
        <v>262.5</v>
      </c>
      <c r="O14" s="27"/>
      <c r="P14" s="30" t="s">
        <v>12</v>
      </c>
      <c r="Q14" s="24">
        <v>4.96</v>
      </c>
      <c r="R14" s="25">
        <f>7.16*35</f>
        <v>250.6</v>
      </c>
      <c r="S14" s="17"/>
      <c r="T14" s="30" t="s">
        <v>12</v>
      </c>
      <c r="U14" s="24">
        <v>3.58</v>
      </c>
      <c r="V14" s="25">
        <f>2.78*35</f>
        <v>97.3</v>
      </c>
      <c r="W14" s="17"/>
    </row>
    <row r="15" spans="1:23" ht="5.0999999999999996" customHeight="1" thickBot="1">
      <c r="A15" s="17"/>
      <c r="B15" s="17"/>
      <c r="C15" s="1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23.1" customHeight="1">
      <c r="A16" s="100" t="s">
        <v>16</v>
      </c>
      <c r="B16" s="6" t="s">
        <v>1</v>
      </c>
      <c r="C16" s="13"/>
      <c r="D16" s="50"/>
      <c r="E16" s="44"/>
      <c r="F16" s="45"/>
      <c r="G16" s="27"/>
      <c r="H16" s="53"/>
      <c r="I16" s="44"/>
      <c r="J16" s="45"/>
      <c r="K16" s="27"/>
      <c r="L16" s="53"/>
      <c r="M16" s="44"/>
      <c r="N16" s="45"/>
      <c r="O16" s="27"/>
      <c r="P16" s="53"/>
      <c r="Q16" s="44"/>
      <c r="R16" s="45"/>
      <c r="S16" s="17"/>
      <c r="T16" s="53"/>
      <c r="U16" s="44"/>
      <c r="V16" s="45"/>
      <c r="W16" s="17"/>
    </row>
    <row r="17" spans="1:23" ht="23.1" customHeight="1">
      <c r="A17" s="101"/>
      <c r="B17" s="7" t="s">
        <v>2</v>
      </c>
      <c r="C17" s="13"/>
      <c r="D17" s="51"/>
      <c r="E17" s="34"/>
      <c r="F17" s="35"/>
      <c r="G17" s="27"/>
      <c r="H17" s="54"/>
      <c r="I17" s="34"/>
      <c r="J17" s="35"/>
      <c r="K17" s="27"/>
      <c r="L17" s="54"/>
      <c r="M17" s="34"/>
      <c r="N17" s="35"/>
      <c r="O17" s="27"/>
      <c r="P17" s="54"/>
      <c r="Q17" s="34"/>
      <c r="R17" s="35"/>
      <c r="S17" s="17"/>
      <c r="T17" s="54"/>
      <c r="U17" s="34"/>
      <c r="V17" s="35"/>
      <c r="W17" s="17"/>
    </row>
    <row r="18" spans="1:23" ht="23.1" customHeight="1">
      <c r="A18" s="101"/>
      <c r="B18" s="7" t="s">
        <v>3</v>
      </c>
      <c r="C18" s="13"/>
      <c r="D18" s="51"/>
      <c r="E18" s="34"/>
      <c r="F18" s="35"/>
      <c r="G18" s="27"/>
      <c r="H18" s="54"/>
      <c r="I18" s="34"/>
      <c r="J18" s="35"/>
      <c r="K18" s="27"/>
      <c r="L18" s="54"/>
      <c r="M18" s="34"/>
      <c r="N18" s="35"/>
      <c r="O18" s="27"/>
      <c r="P18" s="54"/>
      <c r="Q18" s="34"/>
      <c r="R18" s="35"/>
      <c r="S18" s="17"/>
      <c r="T18" s="54"/>
      <c r="U18" s="34"/>
      <c r="V18" s="35"/>
      <c r="W18" s="17"/>
    </row>
    <row r="19" spans="1:23" ht="23.1" customHeight="1" thickBot="1">
      <c r="A19" s="42" t="s">
        <v>17</v>
      </c>
      <c r="B19" s="8" t="s">
        <v>4</v>
      </c>
      <c r="C19" s="13"/>
      <c r="D19" s="52"/>
      <c r="E19" s="46"/>
      <c r="F19" s="47"/>
      <c r="G19" s="27"/>
      <c r="H19" s="55"/>
      <c r="I19" s="46"/>
      <c r="J19" s="47"/>
      <c r="K19" s="27"/>
      <c r="L19" s="55"/>
      <c r="M19" s="46"/>
      <c r="N19" s="47"/>
      <c r="O19" s="27"/>
      <c r="P19" s="55"/>
      <c r="Q19" s="46"/>
      <c r="R19" s="47"/>
      <c r="S19" s="17"/>
      <c r="T19" s="55"/>
      <c r="U19" s="46"/>
      <c r="V19" s="47"/>
      <c r="W19" s="17"/>
    </row>
    <row r="20" spans="1:23" ht="5.0999999999999996" customHeight="1">
      <c r="A20" s="17"/>
      <c r="B20" s="17"/>
      <c r="C20" s="1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thickBot="1"/>
    <row r="22" spans="1:23" ht="15">
      <c r="B22" s="9" t="s">
        <v>9</v>
      </c>
      <c r="D22" s="108">
        <v>40423</v>
      </c>
      <c r="E22" s="106"/>
      <c r="F22" s="107"/>
      <c r="G22" s="3"/>
      <c r="H22" s="108">
        <v>40430</v>
      </c>
      <c r="I22" s="106"/>
      <c r="J22" s="107"/>
      <c r="K22" s="3"/>
      <c r="L22" s="108">
        <v>40437</v>
      </c>
      <c r="M22" s="106"/>
      <c r="N22" s="107"/>
      <c r="O22" s="3"/>
      <c r="P22" s="108">
        <v>40448</v>
      </c>
      <c r="Q22" s="106"/>
      <c r="R22" s="107"/>
      <c r="S22" s="3"/>
      <c r="T22" s="108">
        <v>40453</v>
      </c>
      <c r="U22" s="106"/>
      <c r="V22" s="107"/>
      <c r="W22" s="3"/>
    </row>
    <row r="23" spans="1:23" ht="45.75" thickBot="1">
      <c r="A23" s="2"/>
      <c r="B23" s="2"/>
      <c r="C23" s="4"/>
      <c r="D23" s="63" t="s">
        <v>6</v>
      </c>
      <c r="E23" s="61" t="s">
        <v>7</v>
      </c>
      <c r="F23" s="64" t="s">
        <v>8</v>
      </c>
      <c r="G23" s="4"/>
      <c r="H23" s="63" t="s">
        <v>6</v>
      </c>
      <c r="I23" s="61" t="s">
        <v>7</v>
      </c>
      <c r="J23" s="64" t="s">
        <v>8</v>
      </c>
      <c r="K23" s="4"/>
      <c r="L23" s="63" t="s">
        <v>6</v>
      </c>
      <c r="M23" s="61" t="s">
        <v>7</v>
      </c>
      <c r="N23" s="64" t="s">
        <v>8</v>
      </c>
      <c r="O23" s="4"/>
      <c r="P23" s="63" t="s">
        <v>6</v>
      </c>
      <c r="Q23" s="61" t="s">
        <v>7</v>
      </c>
      <c r="R23" s="64" t="s">
        <v>8</v>
      </c>
      <c r="S23" s="4"/>
      <c r="T23" s="63" t="s">
        <v>6</v>
      </c>
      <c r="U23" s="61" t="s">
        <v>7</v>
      </c>
      <c r="V23" s="64" t="s">
        <v>8</v>
      </c>
      <c r="W23" s="4"/>
    </row>
    <row r="24" spans="1:23" ht="4.5" customHeight="1" thickBot="1">
      <c r="A24" s="17"/>
      <c r="B24" s="17"/>
      <c r="C24" s="1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23.1" customHeight="1">
      <c r="A25" s="109" t="s">
        <v>0</v>
      </c>
      <c r="B25" s="6" t="s">
        <v>1</v>
      </c>
      <c r="C25" s="13"/>
      <c r="D25" s="28" t="s">
        <v>11</v>
      </c>
      <c r="E25" s="20">
        <v>3.99</v>
      </c>
      <c r="F25" s="21">
        <f>4.82*35</f>
        <v>168.70000000000002</v>
      </c>
      <c r="G25" s="17"/>
      <c r="H25" s="28" t="s">
        <v>11</v>
      </c>
      <c r="I25" s="20">
        <v>5.0999999999999996</v>
      </c>
      <c r="J25" s="21">
        <f>11.6*35</f>
        <v>406</v>
      </c>
      <c r="K25" s="17"/>
      <c r="L25" s="28" t="s">
        <v>11</v>
      </c>
      <c r="M25" s="20">
        <v>6.69</v>
      </c>
      <c r="N25" s="21">
        <f>16.3*35</f>
        <v>570.5</v>
      </c>
      <c r="O25" s="17"/>
      <c r="P25" s="28" t="s">
        <v>11</v>
      </c>
      <c r="Q25" s="20">
        <v>6.24</v>
      </c>
      <c r="R25" s="21">
        <f>17.2*35</f>
        <v>602</v>
      </c>
      <c r="S25" s="17"/>
      <c r="T25" s="28" t="s">
        <v>11</v>
      </c>
      <c r="U25" s="20">
        <v>6.56</v>
      </c>
      <c r="V25" s="21">
        <f>8.65*35</f>
        <v>302.75</v>
      </c>
      <c r="W25" s="17"/>
    </row>
    <row r="26" spans="1:23" ht="23.1" customHeight="1">
      <c r="A26" s="110"/>
      <c r="B26" s="7" t="s">
        <v>2</v>
      </c>
      <c r="C26" s="13"/>
      <c r="D26" s="29" t="s">
        <v>11</v>
      </c>
      <c r="E26" s="22">
        <v>3.87</v>
      </c>
      <c r="F26" s="23">
        <f>4.11*35</f>
        <v>143.85000000000002</v>
      </c>
      <c r="G26" s="17"/>
      <c r="H26" s="29" t="s">
        <v>11</v>
      </c>
      <c r="I26" s="22">
        <v>4.79</v>
      </c>
      <c r="J26" s="23">
        <f>8.74*35</f>
        <v>305.90000000000003</v>
      </c>
      <c r="K26" s="17"/>
      <c r="L26" s="29" t="s">
        <v>11</v>
      </c>
      <c r="M26" s="22">
        <v>5.94</v>
      </c>
      <c r="N26" s="23">
        <f>8.85*35</f>
        <v>309.75</v>
      </c>
      <c r="O26" s="17"/>
      <c r="P26" s="29" t="s">
        <v>11</v>
      </c>
      <c r="Q26" s="22">
        <v>5.63</v>
      </c>
      <c r="R26" s="23">
        <f>9.32*35</f>
        <v>326.2</v>
      </c>
      <c r="S26" s="17"/>
      <c r="T26" s="29" t="s">
        <v>11</v>
      </c>
      <c r="U26" s="22">
        <v>6.16</v>
      </c>
      <c r="V26" s="23">
        <f>6.3*35</f>
        <v>220.5</v>
      </c>
      <c r="W26" s="17"/>
    </row>
    <row r="27" spans="1:23" ht="23.1" customHeight="1">
      <c r="A27" s="110"/>
      <c r="B27" s="7" t="s">
        <v>3</v>
      </c>
      <c r="C27" s="13"/>
      <c r="D27" s="29" t="s">
        <v>11</v>
      </c>
      <c r="E27" s="22">
        <v>4.18</v>
      </c>
      <c r="F27" s="23">
        <f>3.2*35</f>
        <v>112</v>
      </c>
      <c r="G27" s="17"/>
      <c r="H27" s="29" t="s">
        <v>11</v>
      </c>
      <c r="I27" s="22">
        <v>4.17</v>
      </c>
      <c r="J27" s="23">
        <f>6.58*35</f>
        <v>230.3</v>
      </c>
      <c r="K27" s="17"/>
      <c r="L27" s="29" t="s">
        <v>11</v>
      </c>
      <c r="M27" s="22">
        <v>5.05</v>
      </c>
      <c r="N27" s="23">
        <f>8.45*35</f>
        <v>295.75</v>
      </c>
      <c r="O27" s="17"/>
      <c r="P27" s="29" t="s">
        <v>11</v>
      </c>
      <c r="Q27" s="22">
        <v>4.8</v>
      </c>
      <c r="R27" s="23">
        <f>7.23*35</f>
        <v>253.05</v>
      </c>
      <c r="S27" s="17"/>
      <c r="T27" s="29" t="s">
        <v>11</v>
      </c>
      <c r="U27" s="22">
        <v>4.76</v>
      </c>
      <c r="V27" s="23">
        <f>5.85*35</f>
        <v>204.75</v>
      </c>
      <c r="W27" s="17"/>
    </row>
    <row r="28" spans="1:23" ht="23.1" customHeight="1" thickBot="1">
      <c r="A28" s="111"/>
      <c r="B28" s="8" t="s">
        <v>4</v>
      </c>
      <c r="C28" s="13"/>
      <c r="D28" s="30" t="s">
        <v>11</v>
      </c>
      <c r="E28" s="24">
        <v>4.0199999999999996</v>
      </c>
      <c r="F28" s="25">
        <f>4.25*35</f>
        <v>148.75</v>
      </c>
      <c r="G28" s="17"/>
      <c r="H28" s="30" t="s">
        <v>11</v>
      </c>
      <c r="I28" s="24">
        <v>5.21</v>
      </c>
      <c r="J28" s="25">
        <f>8.74*35</f>
        <v>305.90000000000003</v>
      </c>
      <c r="K28" s="17"/>
      <c r="L28" s="30" t="s">
        <v>11</v>
      </c>
      <c r="M28" s="24">
        <v>4.6100000000000003</v>
      </c>
      <c r="N28" s="25">
        <f>8.2*35</f>
        <v>287</v>
      </c>
      <c r="O28" s="17"/>
      <c r="P28" s="30" t="s">
        <v>11</v>
      </c>
      <c r="Q28" s="24">
        <v>4.97</v>
      </c>
      <c r="R28" s="25">
        <f>9.04*35</f>
        <v>316.39999999999998</v>
      </c>
      <c r="S28" s="17"/>
      <c r="T28" s="30" t="s">
        <v>11</v>
      </c>
      <c r="U28" s="24">
        <v>4.4800000000000004</v>
      </c>
      <c r="V28" s="25">
        <f>5.2*35</f>
        <v>182</v>
      </c>
      <c r="W28" s="17"/>
    </row>
    <row r="29" spans="1:23" ht="4.5" customHeight="1" thickBot="1">
      <c r="A29" s="14"/>
      <c r="B29" s="15"/>
      <c r="C29" s="13"/>
      <c r="D29" s="32"/>
      <c r="E29" s="26"/>
      <c r="F29" s="26"/>
      <c r="G29" s="13"/>
      <c r="H29" s="32"/>
      <c r="I29" s="26"/>
      <c r="J29" s="26"/>
      <c r="K29" s="13"/>
      <c r="L29" s="32"/>
      <c r="M29" s="26"/>
      <c r="N29" s="26"/>
      <c r="O29" s="13"/>
      <c r="P29" s="32"/>
      <c r="Q29" s="26"/>
      <c r="R29" s="26"/>
      <c r="S29" s="13"/>
      <c r="T29" s="32"/>
      <c r="U29" s="26"/>
      <c r="V29" s="26"/>
      <c r="W29" s="13"/>
    </row>
    <row r="30" spans="1:23" ht="23.1" customHeight="1">
      <c r="A30" s="102" t="s">
        <v>5</v>
      </c>
      <c r="B30" s="6" t="s">
        <v>1</v>
      </c>
      <c r="C30" s="13"/>
      <c r="D30" s="28" t="s">
        <v>12</v>
      </c>
      <c r="E30" s="20">
        <v>6.98</v>
      </c>
      <c r="F30" s="21">
        <f>8.4*35</f>
        <v>294</v>
      </c>
      <c r="G30" s="17"/>
      <c r="H30" s="28" t="s">
        <v>12</v>
      </c>
      <c r="I30" s="20">
        <v>5</v>
      </c>
      <c r="J30" s="21">
        <f>0.9*35</f>
        <v>31.5</v>
      </c>
      <c r="K30" s="17"/>
      <c r="L30" s="28" t="s">
        <v>12</v>
      </c>
      <c r="M30" s="20">
        <v>7.03</v>
      </c>
      <c r="N30" s="21">
        <f>5.36*35</f>
        <v>187.60000000000002</v>
      </c>
      <c r="O30" s="17"/>
      <c r="P30" s="28" t="s">
        <v>12</v>
      </c>
      <c r="Q30" s="20">
        <v>4.9400000000000004</v>
      </c>
      <c r="R30" s="21">
        <f>6.2*35</f>
        <v>217</v>
      </c>
      <c r="S30" s="17"/>
      <c r="T30" s="28" t="s">
        <v>12</v>
      </c>
      <c r="U30" s="20">
        <v>4.5999999999999996</v>
      </c>
      <c r="V30" s="21">
        <f>7*35</f>
        <v>245</v>
      </c>
      <c r="W30" s="17"/>
    </row>
    <row r="31" spans="1:23" ht="23.1" customHeight="1">
      <c r="A31" s="103"/>
      <c r="B31" s="7" t="s">
        <v>2</v>
      </c>
      <c r="C31" s="13"/>
      <c r="D31" s="29" t="s">
        <v>12</v>
      </c>
      <c r="E31" s="22">
        <v>4.28</v>
      </c>
      <c r="F31" s="23">
        <f>7.2*35</f>
        <v>252</v>
      </c>
      <c r="G31" s="17"/>
      <c r="H31" s="29" t="s">
        <v>12</v>
      </c>
      <c r="I31" s="22">
        <v>4.6900000000000004</v>
      </c>
      <c r="J31" s="23">
        <f>5.62*35</f>
        <v>196.70000000000002</v>
      </c>
      <c r="K31" s="17"/>
      <c r="L31" s="29" t="s">
        <v>12</v>
      </c>
      <c r="M31" s="22">
        <v>5.8</v>
      </c>
      <c r="N31" s="23">
        <f>5.76*35</f>
        <v>201.6</v>
      </c>
      <c r="O31" s="17"/>
      <c r="P31" s="29" t="s">
        <v>12</v>
      </c>
      <c r="Q31" s="22">
        <v>5.99</v>
      </c>
      <c r="R31" s="23">
        <f>5.35*35</f>
        <v>187.25</v>
      </c>
      <c r="S31" s="17"/>
      <c r="T31" s="29" t="s">
        <v>12</v>
      </c>
      <c r="U31" s="22">
        <v>4.53</v>
      </c>
      <c r="V31" s="23">
        <f>4.2*35</f>
        <v>147</v>
      </c>
      <c r="W31" s="17"/>
    </row>
    <row r="32" spans="1:23" ht="23.1" customHeight="1">
      <c r="A32" s="103"/>
      <c r="B32" s="7" t="s">
        <v>3</v>
      </c>
      <c r="C32" s="13"/>
      <c r="D32" s="29" t="s">
        <v>12</v>
      </c>
      <c r="E32" s="22">
        <v>4.29</v>
      </c>
      <c r="F32" s="23">
        <f>4.75*35</f>
        <v>166.25</v>
      </c>
      <c r="G32" s="17"/>
      <c r="H32" s="29" t="s">
        <v>12</v>
      </c>
      <c r="I32" s="22">
        <v>4.55</v>
      </c>
      <c r="J32" s="23">
        <f>3.56*35</f>
        <v>124.60000000000001</v>
      </c>
      <c r="K32" s="17"/>
      <c r="L32" s="29" t="s">
        <v>12</v>
      </c>
      <c r="M32" s="22">
        <v>3.9</v>
      </c>
      <c r="N32" s="23">
        <f>2.56*35</f>
        <v>89.600000000000009</v>
      </c>
      <c r="O32" s="17"/>
      <c r="P32" s="29" t="s">
        <v>12</v>
      </c>
      <c r="Q32" s="22">
        <v>4.7300000000000004</v>
      </c>
      <c r="R32" s="23">
        <f>4.45*35</f>
        <v>155.75</v>
      </c>
      <c r="S32" s="17"/>
      <c r="T32" s="29" t="s">
        <v>12</v>
      </c>
      <c r="U32" s="22">
        <v>4.7</v>
      </c>
      <c r="V32" s="23">
        <f>2.25*35</f>
        <v>78.75</v>
      </c>
      <c r="W32" s="17"/>
    </row>
    <row r="33" spans="1:23" ht="23.1" customHeight="1" thickBot="1">
      <c r="A33" s="104"/>
      <c r="B33" s="8" t="s">
        <v>4</v>
      </c>
      <c r="C33" s="13"/>
      <c r="D33" s="30" t="s">
        <v>12</v>
      </c>
      <c r="E33" s="24">
        <v>4.83</v>
      </c>
      <c r="F33" s="25">
        <f>5.1*35</f>
        <v>178.5</v>
      </c>
      <c r="G33" s="17"/>
      <c r="H33" s="30" t="s">
        <v>12</v>
      </c>
      <c r="I33" s="24">
        <v>4.75</v>
      </c>
      <c r="J33" s="25">
        <f>8.76*35</f>
        <v>306.59999999999997</v>
      </c>
      <c r="K33" s="17"/>
      <c r="L33" s="30" t="s">
        <v>12</v>
      </c>
      <c r="M33" s="24">
        <v>4.13</v>
      </c>
      <c r="N33" s="25">
        <f>3.06*35</f>
        <v>107.10000000000001</v>
      </c>
      <c r="O33" s="17"/>
      <c r="P33" s="30" t="s">
        <v>12</v>
      </c>
      <c r="Q33" s="24">
        <v>3.71</v>
      </c>
      <c r="R33" s="25">
        <f>2.36*35</f>
        <v>82.6</v>
      </c>
      <c r="S33" s="17"/>
      <c r="T33" s="30" t="s">
        <v>12</v>
      </c>
      <c r="U33" s="24">
        <v>4.67</v>
      </c>
      <c r="V33" s="25">
        <f>3.05*35</f>
        <v>106.75</v>
      </c>
      <c r="W33" s="17"/>
    </row>
    <row r="34" spans="1:23" ht="4.5" customHeight="1" thickBot="1">
      <c r="A34" s="17"/>
      <c r="B34" s="17"/>
      <c r="C34" s="13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23.1" customHeight="1">
      <c r="A35" s="100" t="s">
        <v>16</v>
      </c>
      <c r="B35" s="6" t="s">
        <v>1</v>
      </c>
      <c r="C35" s="13"/>
      <c r="D35" s="53"/>
      <c r="E35" s="44"/>
      <c r="F35" s="45"/>
      <c r="G35" s="17"/>
      <c r="H35" s="28" t="s">
        <v>12</v>
      </c>
      <c r="I35" s="20">
        <v>5.96</v>
      </c>
      <c r="J35" s="21">
        <f>11.9*35</f>
        <v>416.5</v>
      </c>
      <c r="K35" s="17"/>
      <c r="L35" s="28" t="s">
        <v>12</v>
      </c>
      <c r="M35" s="20">
        <v>5.37</v>
      </c>
      <c r="N35" s="21">
        <f>8.22*35</f>
        <v>287.70000000000005</v>
      </c>
      <c r="O35" s="17"/>
      <c r="P35" s="28" t="s">
        <v>12</v>
      </c>
      <c r="Q35" s="20">
        <v>4.8099999999999996</v>
      </c>
      <c r="R35" s="21">
        <f>3.15*35</f>
        <v>110.25</v>
      </c>
      <c r="S35" s="17"/>
      <c r="T35" s="28" t="s">
        <v>12</v>
      </c>
      <c r="U35" s="20">
        <v>4.91</v>
      </c>
      <c r="V35" s="21">
        <f>7.25*35</f>
        <v>253.75</v>
      </c>
      <c r="W35" s="17"/>
    </row>
    <row r="36" spans="1:23" ht="23.1" customHeight="1">
      <c r="A36" s="101"/>
      <c r="B36" s="7" t="s">
        <v>2</v>
      </c>
      <c r="C36" s="13"/>
      <c r="D36" s="54"/>
      <c r="E36" s="34"/>
      <c r="F36" s="35"/>
      <c r="G36" s="17"/>
      <c r="H36" s="29" t="s">
        <v>12</v>
      </c>
      <c r="I36" s="22">
        <v>6.01</v>
      </c>
      <c r="J36" s="23">
        <f>6.93*35</f>
        <v>242.54999999999998</v>
      </c>
      <c r="K36" s="17"/>
      <c r="L36" s="29" t="s">
        <v>12</v>
      </c>
      <c r="M36" s="22">
        <v>6.65</v>
      </c>
      <c r="N36" s="23">
        <f>1.29*35</f>
        <v>45.15</v>
      </c>
      <c r="O36" s="17"/>
      <c r="P36" s="29" t="s">
        <v>12</v>
      </c>
      <c r="Q36" s="22">
        <v>13.8</v>
      </c>
      <c r="R36" s="23">
        <f>7.6*35</f>
        <v>266</v>
      </c>
      <c r="S36" s="17"/>
      <c r="T36" s="29" t="s">
        <v>12</v>
      </c>
      <c r="U36" s="22">
        <v>10.4</v>
      </c>
      <c r="V36" s="23">
        <f>8.8*35</f>
        <v>308</v>
      </c>
      <c r="W36" s="17"/>
    </row>
    <row r="37" spans="1:23" ht="23.1" customHeight="1">
      <c r="A37" s="101"/>
      <c r="B37" s="7" t="s">
        <v>3</v>
      </c>
      <c r="C37" s="13"/>
      <c r="D37" s="54"/>
      <c r="E37" s="34"/>
      <c r="F37" s="35"/>
      <c r="G37" s="17"/>
      <c r="H37" s="29" t="s">
        <v>12</v>
      </c>
      <c r="I37" s="22">
        <v>4.74</v>
      </c>
      <c r="J37" s="23">
        <f>5.7*35</f>
        <v>199.5</v>
      </c>
      <c r="K37" s="17"/>
      <c r="L37" s="29" t="s">
        <v>12</v>
      </c>
      <c r="M37" s="22">
        <v>3.84</v>
      </c>
      <c r="N37" s="23">
        <f>4.04*35</f>
        <v>141.4</v>
      </c>
      <c r="O37" s="17"/>
      <c r="P37" s="29" t="s">
        <v>12</v>
      </c>
      <c r="Q37" s="22">
        <v>3.91</v>
      </c>
      <c r="R37" s="23">
        <f>3.6*35</f>
        <v>126</v>
      </c>
      <c r="S37" s="17"/>
      <c r="T37" s="29" t="s">
        <v>12</v>
      </c>
      <c r="U37" s="22">
        <v>4.7300000000000004</v>
      </c>
      <c r="V37" s="23">
        <f>6.05*35</f>
        <v>211.75</v>
      </c>
      <c r="W37" s="17"/>
    </row>
    <row r="38" spans="1:23" ht="23.1" customHeight="1" thickBot="1">
      <c r="A38" s="42" t="s">
        <v>17</v>
      </c>
      <c r="B38" s="8" t="s">
        <v>4</v>
      </c>
      <c r="C38" s="13"/>
      <c r="D38" s="55"/>
      <c r="E38" s="46"/>
      <c r="F38" s="47"/>
      <c r="G38" s="17"/>
      <c r="H38" s="30" t="s">
        <v>12</v>
      </c>
      <c r="I38" s="24">
        <v>3.95</v>
      </c>
      <c r="J38" s="25">
        <f>4.96*35</f>
        <v>173.6</v>
      </c>
      <c r="K38" s="17"/>
      <c r="L38" s="30" t="s">
        <v>12</v>
      </c>
      <c r="M38" s="24">
        <v>3.47</v>
      </c>
      <c r="N38" s="25">
        <f>3.71*35</f>
        <v>129.85</v>
      </c>
      <c r="O38" s="17"/>
      <c r="P38" s="30" t="s">
        <v>12</v>
      </c>
      <c r="Q38" s="24">
        <v>4.41</v>
      </c>
      <c r="R38" s="25">
        <f>2.5*35</f>
        <v>87.5</v>
      </c>
      <c r="S38" s="17"/>
      <c r="T38" s="30" t="s">
        <v>12</v>
      </c>
      <c r="U38" s="24">
        <v>4.33</v>
      </c>
      <c r="V38" s="25">
        <f>5.05*35</f>
        <v>176.75</v>
      </c>
      <c r="W38" s="17"/>
    </row>
    <row r="39" spans="1:23" ht="4.5" customHeight="1">
      <c r="A39" s="17"/>
      <c r="B39" s="17"/>
      <c r="C39" s="13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ht="15" thickBot="1"/>
    <row r="41" spans="1:23" ht="15">
      <c r="B41" s="9" t="s">
        <v>9</v>
      </c>
      <c r="D41" s="108">
        <v>40461</v>
      </c>
      <c r="E41" s="106"/>
      <c r="F41" s="107"/>
      <c r="G41" s="17"/>
      <c r="H41" s="108">
        <v>40467</v>
      </c>
      <c r="I41" s="106"/>
      <c r="J41" s="107"/>
      <c r="K41" s="3"/>
      <c r="L41" s="108">
        <v>40497</v>
      </c>
      <c r="M41" s="106"/>
      <c r="N41" s="107"/>
      <c r="O41" s="3"/>
      <c r="P41" s="108">
        <v>40510</v>
      </c>
      <c r="Q41" s="106"/>
      <c r="R41" s="107"/>
      <c r="S41" s="3"/>
      <c r="T41" s="108">
        <v>40516</v>
      </c>
      <c r="U41" s="106"/>
      <c r="V41" s="107"/>
      <c r="W41" s="3"/>
    </row>
    <row r="42" spans="1:23" ht="45.75" thickBot="1">
      <c r="A42" s="2"/>
      <c r="B42" s="2"/>
      <c r="C42" s="4"/>
      <c r="D42" s="63" t="s">
        <v>6</v>
      </c>
      <c r="E42" s="61" t="s">
        <v>7</v>
      </c>
      <c r="F42" s="64" t="s">
        <v>8</v>
      </c>
      <c r="G42" s="17"/>
      <c r="H42" s="63" t="s">
        <v>6</v>
      </c>
      <c r="I42" s="61" t="s">
        <v>7</v>
      </c>
      <c r="J42" s="64" t="s">
        <v>8</v>
      </c>
      <c r="K42" s="4"/>
      <c r="L42" s="63" t="s">
        <v>6</v>
      </c>
      <c r="M42" s="61" t="s">
        <v>7</v>
      </c>
      <c r="N42" s="64" t="s">
        <v>8</v>
      </c>
      <c r="O42" s="4"/>
      <c r="P42" s="63" t="s">
        <v>6</v>
      </c>
      <c r="Q42" s="61" t="s">
        <v>7</v>
      </c>
      <c r="R42" s="64" t="s">
        <v>8</v>
      </c>
      <c r="S42" s="4"/>
      <c r="T42" s="63" t="s">
        <v>6</v>
      </c>
      <c r="U42" s="61" t="s">
        <v>7</v>
      </c>
      <c r="V42" s="64" t="s">
        <v>8</v>
      </c>
      <c r="W42" s="4"/>
    </row>
    <row r="43" spans="1:23" ht="4.5" customHeight="1" thickBot="1">
      <c r="A43" s="17"/>
      <c r="B43" s="17"/>
      <c r="C43" s="13"/>
      <c r="D43" s="17"/>
      <c r="E43" s="17"/>
      <c r="F43" s="17"/>
      <c r="G43" s="13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1:23" ht="23.1" customHeight="1">
      <c r="A44" s="109" t="s">
        <v>0</v>
      </c>
      <c r="B44" s="6" t="s">
        <v>1</v>
      </c>
      <c r="C44" s="13"/>
      <c r="D44" s="28" t="s">
        <v>11</v>
      </c>
      <c r="E44" s="20">
        <v>5.52</v>
      </c>
      <c r="F44" s="21">
        <f>9.42*35</f>
        <v>329.7</v>
      </c>
      <c r="G44" s="17"/>
      <c r="H44" s="28" t="s">
        <v>11</v>
      </c>
      <c r="I44" s="44"/>
      <c r="J44" s="45"/>
      <c r="K44" s="17"/>
      <c r="L44" s="28" t="s">
        <v>11</v>
      </c>
      <c r="M44" s="44"/>
      <c r="N44" s="45"/>
      <c r="O44" s="17"/>
      <c r="P44" s="28" t="s">
        <v>11</v>
      </c>
      <c r="Q44" s="44"/>
      <c r="R44" s="45"/>
      <c r="S44" s="17"/>
      <c r="T44" s="28" t="s">
        <v>11</v>
      </c>
      <c r="U44" s="44"/>
      <c r="V44" s="45"/>
      <c r="W44" s="17"/>
    </row>
    <row r="45" spans="1:23" ht="23.1" customHeight="1">
      <c r="A45" s="110"/>
      <c r="B45" s="7" t="s">
        <v>2</v>
      </c>
      <c r="C45" s="13"/>
      <c r="D45" s="29" t="s">
        <v>11</v>
      </c>
      <c r="E45" s="22">
        <v>7.78</v>
      </c>
      <c r="F45" s="23">
        <f>7.71*35</f>
        <v>269.85000000000002</v>
      </c>
      <c r="G45" s="17"/>
      <c r="H45" s="29" t="s">
        <v>11</v>
      </c>
      <c r="I45" s="34"/>
      <c r="J45" s="35"/>
      <c r="K45" s="17"/>
      <c r="L45" s="29" t="s">
        <v>11</v>
      </c>
      <c r="M45" s="34"/>
      <c r="N45" s="35"/>
      <c r="O45" s="17"/>
      <c r="P45" s="29" t="s">
        <v>11</v>
      </c>
      <c r="Q45" s="34"/>
      <c r="R45" s="35"/>
      <c r="S45" s="17"/>
      <c r="T45" s="29" t="s">
        <v>11</v>
      </c>
      <c r="U45" s="34"/>
      <c r="V45" s="35"/>
      <c r="W45" s="17"/>
    </row>
    <row r="46" spans="1:23" ht="23.1" customHeight="1">
      <c r="A46" s="110"/>
      <c r="B46" s="7" t="s">
        <v>3</v>
      </c>
      <c r="C46" s="13"/>
      <c r="D46" s="29" t="s">
        <v>11</v>
      </c>
      <c r="E46" s="22">
        <v>4.88</v>
      </c>
      <c r="F46" s="23">
        <f>5.18*35</f>
        <v>181.29999999999998</v>
      </c>
      <c r="G46" s="17"/>
      <c r="H46" s="29" t="s">
        <v>11</v>
      </c>
      <c r="I46" s="34"/>
      <c r="J46" s="35"/>
      <c r="K46" s="17"/>
      <c r="L46" s="29" t="s">
        <v>11</v>
      </c>
      <c r="M46" s="34"/>
      <c r="N46" s="35"/>
      <c r="O46" s="17"/>
      <c r="P46" s="29" t="s">
        <v>11</v>
      </c>
      <c r="Q46" s="34"/>
      <c r="R46" s="35"/>
      <c r="S46" s="17"/>
      <c r="T46" s="29" t="s">
        <v>11</v>
      </c>
      <c r="U46" s="34"/>
      <c r="V46" s="35"/>
      <c r="W46" s="17"/>
    </row>
    <row r="47" spans="1:23" ht="23.1" customHeight="1" thickBot="1">
      <c r="A47" s="111"/>
      <c r="B47" s="8" t="s">
        <v>4</v>
      </c>
      <c r="C47" s="13"/>
      <c r="D47" s="30" t="s">
        <v>11</v>
      </c>
      <c r="E47" s="24">
        <v>4.29</v>
      </c>
      <c r="F47" s="25">
        <f>5.12*35</f>
        <v>179.20000000000002</v>
      </c>
      <c r="G47" s="17"/>
      <c r="H47" s="30" t="s">
        <v>11</v>
      </c>
      <c r="I47" s="46"/>
      <c r="J47" s="47"/>
      <c r="K47" s="17"/>
      <c r="L47" s="30" t="s">
        <v>11</v>
      </c>
      <c r="M47" s="46"/>
      <c r="N47" s="47"/>
      <c r="O47" s="17"/>
      <c r="P47" s="30" t="s">
        <v>11</v>
      </c>
      <c r="Q47" s="46"/>
      <c r="R47" s="47"/>
      <c r="S47" s="17"/>
      <c r="T47" s="30" t="s">
        <v>11</v>
      </c>
      <c r="U47" s="46"/>
      <c r="V47" s="47"/>
      <c r="W47" s="17"/>
    </row>
    <row r="48" spans="1:23" ht="4.5" customHeight="1" thickBot="1">
      <c r="A48" s="14"/>
      <c r="B48" s="15"/>
      <c r="C48" s="13"/>
      <c r="D48" s="32"/>
      <c r="E48" s="26"/>
      <c r="F48" s="26"/>
      <c r="G48" s="13"/>
      <c r="H48" s="32"/>
      <c r="I48" s="26"/>
      <c r="J48" s="26"/>
      <c r="K48" s="13"/>
      <c r="L48" s="32"/>
      <c r="M48" s="26"/>
      <c r="N48" s="26"/>
      <c r="O48" s="13"/>
      <c r="P48" s="32"/>
      <c r="Q48" s="26"/>
      <c r="R48" s="26"/>
      <c r="S48" s="13"/>
      <c r="T48" s="32"/>
      <c r="U48" s="26"/>
      <c r="V48" s="26"/>
      <c r="W48" s="13"/>
    </row>
    <row r="49" spans="1:23" ht="23.1" customHeight="1">
      <c r="A49" s="102" t="s">
        <v>5</v>
      </c>
      <c r="B49" s="6" t="s">
        <v>1</v>
      </c>
      <c r="C49" s="13"/>
      <c r="D49" s="28" t="s">
        <v>12</v>
      </c>
      <c r="E49" s="20">
        <v>3.75</v>
      </c>
      <c r="F49" s="21">
        <f>5.06*35</f>
        <v>177.1</v>
      </c>
      <c r="G49" s="17"/>
      <c r="H49" s="28" t="s">
        <v>12</v>
      </c>
      <c r="I49" s="20">
        <v>5.48</v>
      </c>
      <c r="J49" s="21">
        <f>6.3*35</f>
        <v>220.5</v>
      </c>
      <c r="K49" s="17"/>
      <c r="L49" s="28" t="s">
        <v>12</v>
      </c>
      <c r="M49" s="20">
        <v>4.0999999999999996</v>
      </c>
      <c r="N49" s="21">
        <f>2.29*35</f>
        <v>80.150000000000006</v>
      </c>
      <c r="O49" s="17"/>
      <c r="P49" s="28" t="s">
        <v>12</v>
      </c>
      <c r="Q49" s="20">
        <v>4.21</v>
      </c>
      <c r="R49" s="21">
        <f>3.48*35</f>
        <v>121.8</v>
      </c>
      <c r="S49" s="17"/>
      <c r="T49" s="28" t="s">
        <v>12</v>
      </c>
      <c r="U49" s="20">
        <v>4.1399999999999997</v>
      </c>
      <c r="V49" s="21">
        <f>3.51*35</f>
        <v>122.85</v>
      </c>
      <c r="W49" s="17"/>
    </row>
    <row r="50" spans="1:23" ht="23.1" customHeight="1">
      <c r="A50" s="103"/>
      <c r="B50" s="7" t="s">
        <v>2</v>
      </c>
      <c r="C50" s="13"/>
      <c r="D50" s="29" t="s">
        <v>12</v>
      </c>
      <c r="E50" s="22">
        <v>9.14</v>
      </c>
      <c r="F50" s="23">
        <f>1.89*35</f>
        <v>66.149999999999991</v>
      </c>
      <c r="G50" s="17"/>
      <c r="H50" s="29" t="s">
        <v>12</v>
      </c>
      <c r="I50" s="22">
        <v>8.8699999999999992</v>
      </c>
      <c r="J50" s="23">
        <f>3.22*35</f>
        <v>112.7</v>
      </c>
      <c r="K50" s="17"/>
      <c r="L50" s="29" t="s">
        <v>12</v>
      </c>
      <c r="M50" s="22">
        <v>3.9</v>
      </c>
      <c r="N50" s="23">
        <f>1.54*35</f>
        <v>53.9</v>
      </c>
      <c r="O50" s="17"/>
      <c r="P50" s="29" t="s">
        <v>12</v>
      </c>
      <c r="Q50" s="22">
        <v>5.74</v>
      </c>
      <c r="R50" s="23">
        <f>2.55*35</f>
        <v>89.25</v>
      </c>
      <c r="S50" s="17"/>
      <c r="T50" s="29" t="s">
        <v>12</v>
      </c>
      <c r="U50" s="22">
        <v>5.75</v>
      </c>
      <c r="V50" s="23">
        <f>1.82*35</f>
        <v>63.7</v>
      </c>
      <c r="W50" s="17"/>
    </row>
    <row r="51" spans="1:23" ht="23.1" customHeight="1">
      <c r="A51" s="103"/>
      <c r="B51" s="7" t="s">
        <v>3</v>
      </c>
      <c r="C51" s="13"/>
      <c r="D51" s="29" t="s">
        <v>12</v>
      </c>
      <c r="E51" s="22">
        <v>5.77</v>
      </c>
      <c r="F51" s="23">
        <f>2.65*35</f>
        <v>92.75</v>
      </c>
      <c r="G51" s="17"/>
      <c r="H51" s="29" t="s">
        <v>12</v>
      </c>
      <c r="I51" s="22">
        <v>5.26</v>
      </c>
      <c r="J51" s="23">
        <f>2.9*35</f>
        <v>101.5</v>
      </c>
      <c r="K51" s="17"/>
      <c r="L51" s="29" t="s">
        <v>12</v>
      </c>
      <c r="M51" s="22">
        <v>3.71</v>
      </c>
      <c r="N51" s="23">
        <f>1.45*35</f>
        <v>50.75</v>
      </c>
      <c r="O51" s="17"/>
      <c r="P51" s="29" t="s">
        <v>12</v>
      </c>
      <c r="Q51" s="22">
        <v>5.18</v>
      </c>
      <c r="R51" s="23">
        <f>2.7*35</f>
        <v>94.5</v>
      </c>
      <c r="S51" s="17"/>
      <c r="T51" s="29" t="s">
        <v>12</v>
      </c>
      <c r="U51" s="22">
        <v>4.1100000000000003</v>
      </c>
      <c r="V51" s="23">
        <f>2.05*35</f>
        <v>71.75</v>
      </c>
      <c r="W51" s="17"/>
    </row>
    <row r="52" spans="1:23" ht="23.1" customHeight="1" thickBot="1">
      <c r="A52" s="104"/>
      <c r="B52" s="8" t="s">
        <v>4</v>
      </c>
      <c r="C52" s="13"/>
      <c r="D52" s="30" t="s">
        <v>12</v>
      </c>
      <c r="E52" s="24">
        <v>4.0999999999999996</v>
      </c>
      <c r="F52" s="25">
        <f>3.3*35</f>
        <v>115.5</v>
      </c>
      <c r="G52" s="17"/>
      <c r="H52" s="30" t="s">
        <v>12</v>
      </c>
      <c r="I52" s="24">
        <v>4.04</v>
      </c>
      <c r="J52" s="25">
        <f>2.3*35</f>
        <v>80.5</v>
      </c>
      <c r="K52" s="17"/>
      <c r="L52" s="30" t="s">
        <v>12</v>
      </c>
      <c r="M52" s="24">
        <v>3.58</v>
      </c>
      <c r="N52" s="25">
        <f>1.6*35</f>
        <v>56</v>
      </c>
      <c r="O52" s="17"/>
      <c r="P52" s="30" t="s">
        <v>12</v>
      </c>
      <c r="Q52" s="36"/>
      <c r="R52" s="37"/>
      <c r="S52" s="17"/>
      <c r="T52" s="30" t="s">
        <v>12</v>
      </c>
      <c r="U52" s="24">
        <v>3.98</v>
      </c>
      <c r="V52" s="25">
        <f>1.5*35</f>
        <v>52.5</v>
      </c>
      <c r="W52" s="17"/>
    </row>
    <row r="53" spans="1:23" ht="4.5" customHeight="1" thickBot="1">
      <c r="A53" s="17"/>
      <c r="B53" s="17"/>
      <c r="C53" s="13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23.1" customHeight="1">
      <c r="A54" s="100" t="s">
        <v>16</v>
      </c>
      <c r="B54" s="6" t="s">
        <v>1</v>
      </c>
      <c r="C54" s="13"/>
      <c r="D54" s="28" t="s">
        <v>12</v>
      </c>
      <c r="E54" s="20">
        <v>4.46</v>
      </c>
      <c r="F54" s="21">
        <f>4*35</f>
        <v>140</v>
      </c>
      <c r="G54" s="17"/>
      <c r="H54" s="28" t="s">
        <v>12</v>
      </c>
      <c r="I54" s="20">
        <v>4.92</v>
      </c>
      <c r="J54" s="21">
        <f>2.95*35</f>
        <v>103.25</v>
      </c>
      <c r="K54" s="17"/>
      <c r="L54" s="28" t="s">
        <v>12</v>
      </c>
      <c r="M54" s="20">
        <v>4.43</v>
      </c>
      <c r="N54" s="21">
        <f>3.74*35</f>
        <v>130.9</v>
      </c>
      <c r="O54" s="17"/>
      <c r="P54" s="28" t="s">
        <v>12</v>
      </c>
      <c r="Q54" s="20">
        <v>3.36</v>
      </c>
      <c r="R54" s="21">
        <f>1.5*35</f>
        <v>52.5</v>
      </c>
      <c r="S54" s="17"/>
      <c r="T54" s="28" t="s">
        <v>12</v>
      </c>
      <c r="U54" s="20">
        <v>4.33</v>
      </c>
      <c r="V54" s="21">
        <f>2.94*35</f>
        <v>102.89999999999999</v>
      </c>
      <c r="W54" s="17"/>
    </row>
    <row r="55" spans="1:23" ht="23.1" customHeight="1">
      <c r="A55" s="101"/>
      <c r="B55" s="7" t="s">
        <v>2</v>
      </c>
      <c r="C55" s="13"/>
      <c r="D55" s="29" t="s">
        <v>12</v>
      </c>
      <c r="E55" s="22">
        <v>12</v>
      </c>
      <c r="F55" s="23">
        <f>5.3*35</f>
        <v>185.5</v>
      </c>
      <c r="G55" s="17"/>
      <c r="H55" s="29" t="s">
        <v>12</v>
      </c>
      <c r="I55" s="22">
        <v>6.12</v>
      </c>
      <c r="J55" s="23">
        <f>2.05*35</f>
        <v>71.75</v>
      </c>
      <c r="K55" s="17"/>
      <c r="L55" s="29" t="s">
        <v>12</v>
      </c>
      <c r="M55" s="22">
        <v>6.04</v>
      </c>
      <c r="N55" s="23">
        <f>3.21*35</f>
        <v>112.35</v>
      </c>
      <c r="O55" s="17"/>
      <c r="P55" s="29" t="s">
        <v>12</v>
      </c>
      <c r="Q55" s="22">
        <v>5.48</v>
      </c>
      <c r="R55" s="23">
        <f>1.52*35</f>
        <v>53.2</v>
      </c>
      <c r="S55" s="17"/>
      <c r="T55" s="29" t="s">
        <v>12</v>
      </c>
      <c r="U55" s="22">
        <v>5.94</v>
      </c>
      <c r="V55" s="23">
        <f>2.34*35</f>
        <v>81.899999999999991</v>
      </c>
      <c r="W55" s="17"/>
    </row>
    <row r="56" spans="1:23" ht="23.1" customHeight="1">
      <c r="A56" s="101"/>
      <c r="B56" s="7" t="s">
        <v>3</v>
      </c>
      <c r="C56" s="13"/>
      <c r="D56" s="29" t="s">
        <v>12</v>
      </c>
      <c r="E56" s="22">
        <v>5.98</v>
      </c>
      <c r="F56" s="23">
        <f>6.8*35</f>
        <v>238</v>
      </c>
      <c r="G56" s="17"/>
      <c r="H56" s="29" t="s">
        <v>12</v>
      </c>
      <c r="I56" s="22">
        <v>5.82</v>
      </c>
      <c r="J56" s="23">
        <f>2.65*35</f>
        <v>92.75</v>
      </c>
      <c r="K56" s="17"/>
      <c r="L56" s="29" t="s">
        <v>12</v>
      </c>
      <c r="M56" s="22">
        <v>4.34</v>
      </c>
      <c r="N56" s="23">
        <f>2.54*35</f>
        <v>88.9</v>
      </c>
      <c r="O56" s="17"/>
      <c r="P56" s="29" t="s">
        <v>12</v>
      </c>
      <c r="Q56" s="22">
        <v>4.7</v>
      </c>
      <c r="R56" s="23">
        <f>1.77*35</f>
        <v>61.95</v>
      </c>
      <c r="S56" s="17"/>
      <c r="T56" s="29" t="s">
        <v>12</v>
      </c>
      <c r="U56" s="22">
        <v>4.38</v>
      </c>
      <c r="V56" s="23">
        <f>1.68*35</f>
        <v>58.8</v>
      </c>
      <c r="W56" s="17"/>
    </row>
    <row r="57" spans="1:23" ht="23.1" customHeight="1" thickBot="1">
      <c r="A57" s="42" t="s">
        <v>17</v>
      </c>
      <c r="B57" s="8" t="s">
        <v>4</v>
      </c>
      <c r="C57" s="13"/>
      <c r="D57" s="30" t="s">
        <v>12</v>
      </c>
      <c r="E57" s="24">
        <v>4.45</v>
      </c>
      <c r="F57" s="25">
        <f>5.9*35</f>
        <v>206.5</v>
      </c>
      <c r="G57" s="17"/>
      <c r="H57" s="30" t="s">
        <v>12</v>
      </c>
      <c r="I57" s="24">
        <v>5.56</v>
      </c>
      <c r="J57" s="25">
        <f>3.96*35</f>
        <v>138.6</v>
      </c>
      <c r="K57" s="17"/>
      <c r="L57" s="30" t="s">
        <v>12</v>
      </c>
      <c r="M57" s="24">
        <v>4.72</v>
      </c>
      <c r="N57" s="25">
        <f>2.66*35</f>
        <v>93.100000000000009</v>
      </c>
      <c r="O57" s="17"/>
      <c r="P57" s="30" t="s">
        <v>12</v>
      </c>
      <c r="Q57" s="36"/>
      <c r="R57" s="37"/>
      <c r="S57" s="17"/>
      <c r="T57" s="30" t="s">
        <v>12</v>
      </c>
      <c r="U57" s="24">
        <v>4.5</v>
      </c>
      <c r="V57" s="25">
        <f>2.04*35</f>
        <v>71.400000000000006</v>
      </c>
      <c r="W57" s="17"/>
    </row>
    <row r="58" spans="1:23" ht="4.5" customHeight="1">
      <c r="A58" s="17"/>
      <c r="B58" s="17"/>
      <c r="C58" s="13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 ht="15" thickBot="1"/>
    <row r="60" spans="1:23" ht="15">
      <c r="B60" s="9" t="s">
        <v>9</v>
      </c>
      <c r="D60" s="108">
        <v>40555</v>
      </c>
      <c r="E60" s="106"/>
      <c r="F60" s="107"/>
      <c r="H60" s="108">
        <v>40675</v>
      </c>
      <c r="I60" s="106"/>
      <c r="J60" s="107"/>
    </row>
    <row r="61" spans="1:23" ht="45.75" thickBot="1">
      <c r="A61" s="2"/>
      <c r="B61" s="2"/>
      <c r="C61" s="4"/>
      <c r="D61" s="63" t="s">
        <v>6</v>
      </c>
      <c r="E61" s="61" t="s">
        <v>7</v>
      </c>
      <c r="F61" s="64" t="s">
        <v>8</v>
      </c>
      <c r="G61" s="2"/>
      <c r="H61" s="63" t="s">
        <v>6</v>
      </c>
      <c r="I61" s="61" t="s">
        <v>7</v>
      </c>
      <c r="J61" s="64" t="s">
        <v>8</v>
      </c>
      <c r="K61" s="2"/>
    </row>
    <row r="62" spans="1:23" ht="4.5" customHeight="1" thickBot="1">
      <c r="A62" s="17"/>
      <c r="B62" s="17"/>
      <c r="C62" s="13"/>
      <c r="D62" s="17"/>
      <c r="E62" s="17"/>
      <c r="F62" s="17"/>
      <c r="G62" s="17"/>
      <c r="H62" s="17"/>
      <c r="I62" s="17"/>
      <c r="J62" s="17"/>
      <c r="K62" s="17"/>
    </row>
    <row r="63" spans="1:23" ht="23.1" customHeight="1">
      <c r="A63" s="109" t="s">
        <v>0</v>
      </c>
      <c r="B63" s="6" t="s">
        <v>1</v>
      </c>
      <c r="C63" s="13"/>
      <c r="D63" s="28" t="s">
        <v>11</v>
      </c>
      <c r="E63" s="44"/>
      <c r="F63" s="45"/>
      <c r="G63" s="17"/>
      <c r="H63" s="28" t="s">
        <v>11</v>
      </c>
      <c r="I63" s="44"/>
      <c r="J63" s="45"/>
      <c r="K63" s="17"/>
    </row>
    <row r="64" spans="1:23" ht="23.1" customHeight="1">
      <c r="A64" s="110"/>
      <c r="B64" s="7" t="s">
        <v>2</v>
      </c>
      <c r="C64" s="13"/>
      <c r="D64" s="29" t="s">
        <v>11</v>
      </c>
      <c r="E64" s="34"/>
      <c r="F64" s="35"/>
      <c r="G64" s="17"/>
      <c r="H64" s="29" t="s">
        <v>11</v>
      </c>
      <c r="I64" s="34"/>
      <c r="J64" s="35"/>
      <c r="K64" s="17"/>
    </row>
    <row r="65" spans="1:11" ht="23.1" customHeight="1">
      <c r="A65" s="110"/>
      <c r="B65" s="7" t="s">
        <v>3</v>
      </c>
      <c r="C65" s="13"/>
      <c r="D65" s="29" t="s">
        <v>11</v>
      </c>
      <c r="E65" s="34"/>
      <c r="F65" s="35"/>
      <c r="G65" s="17"/>
      <c r="H65" s="29" t="s">
        <v>11</v>
      </c>
      <c r="I65" s="34"/>
      <c r="J65" s="35"/>
      <c r="K65" s="17"/>
    </row>
    <row r="66" spans="1:11" ht="23.1" customHeight="1" thickBot="1">
      <c r="A66" s="111"/>
      <c r="B66" s="8" t="s">
        <v>4</v>
      </c>
      <c r="C66" s="13"/>
      <c r="D66" s="30" t="s">
        <v>11</v>
      </c>
      <c r="E66" s="46"/>
      <c r="F66" s="47"/>
      <c r="G66" s="17"/>
      <c r="H66" s="30" t="s">
        <v>11</v>
      </c>
      <c r="I66" s="46"/>
      <c r="J66" s="47"/>
      <c r="K66" s="17"/>
    </row>
    <row r="67" spans="1:11" ht="4.5" customHeight="1" thickBot="1">
      <c r="A67" s="14"/>
      <c r="B67" s="15"/>
      <c r="C67" s="13"/>
      <c r="D67" s="32"/>
      <c r="E67" s="26"/>
      <c r="F67" s="26"/>
      <c r="G67" s="13"/>
      <c r="H67" s="32"/>
      <c r="I67" s="26"/>
      <c r="J67" s="26"/>
      <c r="K67" s="13"/>
    </row>
    <row r="68" spans="1:11" ht="23.1" customHeight="1">
      <c r="A68" s="102" t="s">
        <v>5</v>
      </c>
      <c r="B68" s="6" t="s">
        <v>1</v>
      </c>
      <c r="C68" s="13"/>
      <c r="D68" s="28" t="s">
        <v>12</v>
      </c>
      <c r="E68" s="20">
        <v>2.64</v>
      </c>
      <c r="F68" s="21">
        <f>0.58*35</f>
        <v>20.299999999999997</v>
      </c>
      <c r="G68" s="17"/>
      <c r="H68" s="28" t="s">
        <v>12</v>
      </c>
      <c r="I68" s="20">
        <v>3.04</v>
      </c>
      <c r="J68" s="21">
        <f>0.79*35</f>
        <v>27.650000000000002</v>
      </c>
      <c r="K68" s="17"/>
    </row>
    <row r="69" spans="1:11" ht="23.1" customHeight="1">
      <c r="A69" s="103"/>
      <c r="B69" s="7" t="s">
        <v>2</v>
      </c>
      <c r="C69" s="13"/>
      <c r="D69" s="29" t="s">
        <v>12</v>
      </c>
      <c r="E69" s="22">
        <v>7.7</v>
      </c>
      <c r="F69" s="23">
        <f>0.56*35</f>
        <v>19.600000000000001</v>
      </c>
      <c r="G69" s="17"/>
      <c r="H69" s="29" t="s">
        <v>12</v>
      </c>
      <c r="I69" s="22">
        <v>3.27</v>
      </c>
      <c r="J69" s="23">
        <f>1.27*35</f>
        <v>44.45</v>
      </c>
      <c r="K69" s="17"/>
    </row>
    <row r="70" spans="1:11" ht="23.1" customHeight="1">
      <c r="A70" s="103"/>
      <c r="B70" s="7" t="s">
        <v>3</v>
      </c>
      <c r="C70" s="13"/>
      <c r="D70" s="29" t="s">
        <v>12</v>
      </c>
      <c r="E70" s="22">
        <v>3.63</v>
      </c>
      <c r="F70" s="23">
        <f>0.54*35</f>
        <v>18.900000000000002</v>
      </c>
      <c r="G70" s="17"/>
      <c r="H70" s="29" t="s">
        <v>12</v>
      </c>
      <c r="I70" s="22">
        <v>3.15</v>
      </c>
      <c r="J70" s="23">
        <f>1.51*35</f>
        <v>52.85</v>
      </c>
      <c r="K70" s="17"/>
    </row>
    <row r="71" spans="1:11" ht="23.1" customHeight="1" thickBot="1">
      <c r="A71" s="104"/>
      <c r="B71" s="8" t="s">
        <v>4</v>
      </c>
      <c r="C71" s="13"/>
      <c r="D71" s="30" t="s">
        <v>12</v>
      </c>
      <c r="E71" s="36"/>
      <c r="F71" s="37"/>
      <c r="G71" s="17"/>
      <c r="H71" s="30" t="s">
        <v>12</v>
      </c>
      <c r="I71" s="36"/>
      <c r="J71" s="37"/>
      <c r="K71" s="17"/>
    </row>
    <row r="72" spans="1:11" ht="4.5" customHeight="1" thickBot="1">
      <c r="A72" s="17"/>
      <c r="B72" s="17"/>
      <c r="C72" s="13"/>
      <c r="D72" s="17"/>
      <c r="E72" s="17"/>
      <c r="F72" s="17"/>
      <c r="G72" s="17"/>
      <c r="H72" s="17"/>
      <c r="I72" s="17"/>
      <c r="J72" s="17"/>
      <c r="K72" s="17"/>
    </row>
    <row r="73" spans="1:11" ht="23.1" customHeight="1">
      <c r="A73" s="100" t="s">
        <v>16</v>
      </c>
      <c r="B73" s="6" t="s">
        <v>1</v>
      </c>
      <c r="C73" s="13"/>
      <c r="D73" s="28" t="s">
        <v>12</v>
      </c>
      <c r="E73" s="20">
        <v>3.42</v>
      </c>
      <c r="F73" s="21">
        <f>0.82*35</f>
        <v>28.7</v>
      </c>
      <c r="G73" s="17"/>
      <c r="H73" s="28" t="s">
        <v>12</v>
      </c>
      <c r="I73" s="20">
        <v>2.0699999999999998</v>
      </c>
      <c r="J73" s="21">
        <f>1.13*35</f>
        <v>39.549999999999997</v>
      </c>
      <c r="K73" s="17"/>
    </row>
    <row r="74" spans="1:11" ht="23.1" customHeight="1">
      <c r="A74" s="101"/>
      <c r="B74" s="7" t="s">
        <v>2</v>
      </c>
      <c r="C74" s="13"/>
      <c r="D74" s="29" t="s">
        <v>12</v>
      </c>
      <c r="E74" s="22">
        <v>6.25</v>
      </c>
      <c r="F74" s="23">
        <f>0.87*35</f>
        <v>30.45</v>
      </c>
      <c r="G74" s="17"/>
      <c r="H74" s="29" t="s">
        <v>12</v>
      </c>
      <c r="I74" s="22">
        <v>2.72</v>
      </c>
      <c r="J74" s="23">
        <f>1.54*35</f>
        <v>53.9</v>
      </c>
      <c r="K74" s="17"/>
    </row>
    <row r="75" spans="1:11" ht="23.1" customHeight="1">
      <c r="A75" s="101"/>
      <c r="B75" s="7" t="s">
        <v>3</v>
      </c>
      <c r="C75" s="13"/>
      <c r="D75" s="29" t="s">
        <v>12</v>
      </c>
      <c r="E75" s="22">
        <v>3.5</v>
      </c>
      <c r="F75" s="23">
        <f>0.78*35</f>
        <v>27.3</v>
      </c>
      <c r="G75" s="17"/>
      <c r="H75" s="29" t="s">
        <v>12</v>
      </c>
      <c r="I75" s="22">
        <v>1.34</v>
      </c>
      <c r="J75" s="23">
        <f>1.03*35</f>
        <v>36.050000000000004</v>
      </c>
      <c r="K75" s="17"/>
    </row>
    <row r="76" spans="1:11" ht="23.1" customHeight="1" thickBot="1">
      <c r="A76" s="42" t="s">
        <v>17</v>
      </c>
      <c r="B76" s="8" t="s">
        <v>4</v>
      </c>
      <c r="C76" s="13"/>
      <c r="D76" s="30" t="s">
        <v>12</v>
      </c>
      <c r="E76" s="36"/>
      <c r="F76" s="37"/>
      <c r="G76" s="17"/>
      <c r="H76" s="30" t="s">
        <v>12</v>
      </c>
      <c r="I76" s="36"/>
      <c r="J76" s="37"/>
      <c r="K76" s="17"/>
    </row>
    <row r="77" spans="1:11" ht="4.5" customHeight="1">
      <c r="A77" s="17"/>
      <c r="B77" s="17"/>
      <c r="C77" s="13"/>
      <c r="D77" s="17"/>
      <c r="E77" s="17"/>
      <c r="F77" s="17"/>
      <c r="G77" s="17"/>
      <c r="H77" s="17"/>
      <c r="I77" s="17"/>
      <c r="J77" s="17"/>
      <c r="K77" s="17"/>
    </row>
    <row r="80" spans="1:11" ht="15">
      <c r="B80" s="18" t="s">
        <v>92</v>
      </c>
    </row>
  </sheetData>
  <mergeCells count="29">
    <mergeCell ref="A54:A56"/>
    <mergeCell ref="A63:A66"/>
    <mergeCell ref="A68:A71"/>
    <mergeCell ref="A73:A75"/>
    <mergeCell ref="A25:A28"/>
    <mergeCell ref="A30:A33"/>
    <mergeCell ref="A35:A37"/>
    <mergeCell ref="A44:A47"/>
    <mergeCell ref="A49:A52"/>
    <mergeCell ref="L41:N41"/>
    <mergeCell ref="P41:R41"/>
    <mergeCell ref="T41:V41"/>
    <mergeCell ref="D60:F60"/>
    <mergeCell ref="D41:F41"/>
    <mergeCell ref="H41:J41"/>
    <mergeCell ref="H60:J60"/>
    <mergeCell ref="P22:R22"/>
    <mergeCell ref="L22:N22"/>
    <mergeCell ref="H22:J22"/>
    <mergeCell ref="D22:F22"/>
    <mergeCell ref="T3:V3"/>
    <mergeCell ref="P3:R3"/>
    <mergeCell ref="T22:V22"/>
    <mergeCell ref="A16:A18"/>
    <mergeCell ref="A11:A14"/>
    <mergeCell ref="D3:F3"/>
    <mergeCell ref="H3:J3"/>
    <mergeCell ref="L3:N3"/>
    <mergeCell ref="A6:A9"/>
  </mergeCells>
  <printOptions horizontalCentered="1" verticalCentered="1"/>
  <pageMargins left="0.16" right="0.17" top="0" bottom="0.25" header="0.28000000000000003" footer="0.16"/>
  <pageSetup scale="75" orientation="landscape" horizontalDpi="300" verticalDpi="300" r:id="rId1"/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S22"/>
  <sheetViews>
    <sheetView view="pageBreakPreview" zoomScale="85" zoomScaleNormal="100" zoomScaleSheetLayoutView="85" workbookViewId="0">
      <pane xSplit="3" ySplit="4" topLeftCell="D5" activePane="bottomRight" state="frozen"/>
      <selection activeCell="M11" sqref="M11"/>
      <selection pane="topRight" activeCell="M11" sqref="M11"/>
      <selection pane="bottomLeft" activeCell="M11" sqref="M11"/>
      <selection pane="bottomRight" activeCell="F19" sqref="F19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16384" width="9.140625" style="1"/>
  </cols>
  <sheetData>
    <row r="1" spans="1:19" ht="23.25">
      <c r="A1" s="86" t="s">
        <v>183</v>
      </c>
      <c r="D1" s="96"/>
      <c r="E1" s="97"/>
      <c r="F1" s="97"/>
      <c r="G1" s="97"/>
      <c r="H1" s="97"/>
      <c r="I1" s="97"/>
      <c r="J1" s="97"/>
      <c r="K1" s="97"/>
      <c r="L1" s="99"/>
      <c r="M1" s="99"/>
      <c r="N1" s="99"/>
      <c r="O1" s="99"/>
      <c r="P1" s="99"/>
      <c r="Q1" s="99"/>
      <c r="R1" s="99"/>
    </row>
    <row r="2" spans="1:19" ht="15" thickBot="1"/>
    <row r="3" spans="1:19" ht="15">
      <c r="B3" s="9" t="s">
        <v>9</v>
      </c>
      <c r="D3" s="108">
        <v>40516</v>
      </c>
      <c r="E3" s="106"/>
      <c r="F3" s="107"/>
      <c r="H3" s="108">
        <v>40552</v>
      </c>
      <c r="I3" s="106"/>
      <c r="J3" s="107"/>
      <c r="L3" s="108">
        <v>40580</v>
      </c>
      <c r="M3" s="106"/>
      <c r="N3" s="107"/>
      <c r="P3" s="108">
        <v>40650</v>
      </c>
      <c r="Q3" s="106"/>
      <c r="R3" s="107"/>
    </row>
    <row r="4" spans="1:19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</row>
    <row r="5" spans="1:19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3.1" customHeight="1">
      <c r="A6" s="109" t="s">
        <v>13</v>
      </c>
      <c r="B6" s="6" t="s">
        <v>1</v>
      </c>
      <c r="C6" s="13"/>
      <c r="D6" s="10" t="s">
        <v>15</v>
      </c>
      <c r="E6" s="20">
        <v>2.5299999999999998</v>
      </c>
      <c r="F6" s="21">
        <f>0.76*35</f>
        <v>26.6</v>
      </c>
      <c r="G6" s="27"/>
      <c r="H6" s="28" t="s">
        <v>15</v>
      </c>
      <c r="I6" s="20">
        <v>1.03</v>
      </c>
      <c r="J6" s="21">
        <f>0.27*35</f>
        <v>9.4500000000000011</v>
      </c>
      <c r="K6" s="27"/>
      <c r="L6" s="28" t="s">
        <v>15</v>
      </c>
      <c r="M6" s="20">
        <v>1.4</v>
      </c>
      <c r="N6" s="21">
        <f>0.79*35</f>
        <v>27.650000000000002</v>
      </c>
      <c r="O6" s="27"/>
      <c r="P6" s="28" t="s">
        <v>15</v>
      </c>
      <c r="Q6" s="20">
        <v>1.52</v>
      </c>
      <c r="R6" s="21">
        <f>1.99*35</f>
        <v>69.650000000000006</v>
      </c>
      <c r="S6" s="27"/>
    </row>
    <row r="7" spans="1:19" ht="23.1" customHeight="1">
      <c r="A7" s="110"/>
      <c r="B7" s="7" t="s">
        <v>2</v>
      </c>
      <c r="C7" s="13"/>
      <c r="D7" s="11" t="s">
        <v>15</v>
      </c>
      <c r="E7" s="22">
        <v>2.17</v>
      </c>
      <c r="F7" s="23">
        <f>1.37*35</f>
        <v>47.95</v>
      </c>
      <c r="G7" s="27"/>
      <c r="H7" s="29" t="s">
        <v>15</v>
      </c>
      <c r="I7" s="22">
        <v>1.02</v>
      </c>
      <c r="J7" s="23">
        <f>0.33*35</f>
        <v>11.55</v>
      </c>
      <c r="K7" s="27"/>
      <c r="L7" s="29" t="s">
        <v>15</v>
      </c>
      <c r="M7" s="22">
        <v>0.96</v>
      </c>
      <c r="N7" s="23">
        <f>0.55*35</f>
        <v>19.25</v>
      </c>
      <c r="O7" s="27"/>
      <c r="P7" s="29" t="s">
        <v>15</v>
      </c>
      <c r="Q7" s="22">
        <v>1.27</v>
      </c>
      <c r="R7" s="23">
        <f>1.7*35</f>
        <v>59.5</v>
      </c>
      <c r="S7" s="27"/>
    </row>
    <row r="8" spans="1:19" ht="23.1" customHeight="1">
      <c r="A8" s="110"/>
      <c r="B8" s="7" t="s">
        <v>3</v>
      </c>
      <c r="C8" s="13"/>
      <c r="D8" s="11" t="s">
        <v>15</v>
      </c>
      <c r="E8" s="22">
        <v>1.57</v>
      </c>
      <c r="F8" s="23">
        <f>0.82*35</f>
        <v>28.7</v>
      </c>
      <c r="G8" s="27"/>
      <c r="H8" s="29" t="s">
        <v>15</v>
      </c>
      <c r="I8" s="22">
        <v>1.28</v>
      </c>
      <c r="J8" s="23">
        <f>0.45*35</f>
        <v>15.75</v>
      </c>
      <c r="K8" s="27"/>
      <c r="L8" s="29" t="s">
        <v>15</v>
      </c>
      <c r="M8" s="22">
        <v>0.93</v>
      </c>
      <c r="N8" s="23">
        <f>0.51*35</f>
        <v>17.850000000000001</v>
      </c>
      <c r="O8" s="27"/>
      <c r="P8" s="29" t="s">
        <v>15</v>
      </c>
      <c r="Q8" s="22">
        <v>1.0900000000000001</v>
      </c>
      <c r="R8" s="23">
        <f>1.34*35</f>
        <v>46.900000000000006</v>
      </c>
      <c r="S8" s="27"/>
    </row>
    <row r="9" spans="1:19" ht="23.1" customHeight="1" thickBot="1">
      <c r="A9" s="111"/>
      <c r="B9" s="8" t="s">
        <v>4</v>
      </c>
      <c r="C9" s="13"/>
      <c r="D9" s="12" t="s">
        <v>15</v>
      </c>
      <c r="E9" s="46"/>
      <c r="F9" s="47"/>
      <c r="G9" s="27"/>
      <c r="H9" s="30" t="s">
        <v>15</v>
      </c>
      <c r="I9" s="59">
        <v>1.26</v>
      </c>
      <c r="J9" s="60">
        <f>0.59*35</f>
        <v>20.65</v>
      </c>
      <c r="K9" s="27"/>
      <c r="L9" s="30" t="s">
        <v>15</v>
      </c>
      <c r="M9" s="59">
        <v>1.04</v>
      </c>
      <c r="N9" s="60">
        <f>0.73*35</f>
        <v>25.55</v>
      </c>
      <c r="O9" s="27"/>
      <c r="P9" s="30" t="s">
        <v>15</v>
      </c>
      <c r="Q9" s="46"/>
      <c r="R9" s="47"/>
      <c r="S9" s="27"/>
    </row>
    <row r="10" spans="1:19" s="3" customFormat="1" ht="5.0999999999999996" customHeight="1">
      <c r="A10" s="14"/>
      <c r="B10" s="15"/>
      <c r="C10" s="13"/>
      <c r="D10" s="16"/>
      <c r="E10" s="26"/>
      <c r="F10" s="26"/>
      <c r="G10" s="31"/>
      <c r="H10" s="32"/>
      <c r="I10" s="26"/>
      <c r="J10" s="26"/>
      <c r="K10" s="31"/>
      <c r="L10" s="32"/>
      <c r="M10" s="26"/>
      <c r="N10" s="26"/>
      <c r="O10" s="31"/>
      <c r="P10" s="32"/>
      <c r="Q10" s="26"/>
      <c r="R10" s="26"/>
      <c r="S10" s="31"/>
    </row>
    <row r="12" spans="1:19" ht="15" thickBot="1"/>
    <row r="13" spans="1:19" ht="15">
      <c r="B13" s="9" t="s">
        <v>9</v>
      </c>
      <c r="D13" s="108">
        <v>40704</v>
      </c>
      <c r="E13" s="106"/>
      <c r="F13" s="107"/>
    </row>
    <row r="14" spans="1:19" ht="45.75" thickBot="1">
      <c r="A14" s="2"/>
      <c r="B14" s="2"/>
      <c r="C14" s="4"/>
      <c r="D14" s="63" t="s">
        <v>6</v>
      </c>
      <c r="E14" s="61" t="s">
        <v>7</v>
      </c>
      <c r="F14" s="64" t="s">
        <v>8</v>
      </c>
      <c r="G14" s="5"/>
    </row>
    <row r="15" spans="1:19" ht="4.5" customHeight="1" thickBot="1">
      <c r="A15" s="17"/>
      <c r="B15" s="17"/>
      <c r="C15" s="13"/>
      <c r="D15" s="17"/>
      <c r="E15" s="17"/>
      <c r="F15" s="17"/>
      <c r="G15" s="17"/>
    </row>
    <row r="16" spans="1:19" ht="23.1" customHeight="1">
      <c r="A16" s="109" t="s">
        <v>13</v>
      </c>
      <c r="B16" s="6" t="s">
        <v>1</v>
      </c>
      <c r="C16" s="13"/>
      <c r="D16" s="10" t="s">
        <v>15</v>
      </c>
      <c r="E16" s="20">
        <v>1.99</v>
      </c>
      <c r="F16" s="21">
        <f>3.63*35</f>
        <v>127.05</v>
      </c>
      <c r="G16" s="27"/>
    </row>
    <row r="17" spans="1:7" ht="23.1" customHeight="1">
      <c r="A17" s="110"/>
      <c r="B17" s="7" t="s">
        <v>2</v>
      </c>
      <c r="C17" s="13"/>
      <c r="D17" s="11" t="s">
        <v>15</v>
      </c>
      <c r="E17" s="22">
        <v>2.16</v>
      </c>
      <c r="F17" s="23">
        <f>3.68*35</f>
        <v>128.80000000000001</v>
      </c>
      <c r="G17" s="27"/>
    </row>
    <row r="18" spans="1:7" ht="23.1" customHeight="1">
      <c r="A18" s="110"/>
      <c r="B18" s="7" t="s">
        <v>3</v>
      </c>
      <c r="C18" s="13"/>
      <c r="D18" s="11" t="s">
        <v>15</v>
      </c>
      <c r="E18" s="22">
        <v>1.88</v>
      </c>
      <c r="F18" s="23">
        <f>3.54*35</f>
        <v>123.9</v>
      </c>
      <c r="G18" s="27"/>
    </row>
    <row r="19" spans="1:7" ht="23.1" customHeight="1" thickBot="1">
      <c r="A19" s="111"/>
      <c r="B19" s="8" t="s">
        <v>4</v>
      </c>
      <c r="C19" s="13"/>
      <c r="D19" s="12" t="s">
        <v>15</v>
      </c>
      <c r="E19" s="46"/>
      <c r="F19" s="47"/>
      <c r="G19" s="27"/>
    </row>
    <row r="20" spans="1:7" ht="4.5" customHeight="1">
      <c r="A20" s="14"/>
      <c r="B20" s="15"/>
      <c r="C20" s="13"/>
      <c r="D20" s="16"/>
      <c r="E20" s="26"/>
      <c r="F20" s="26"/>
      <c r="G20" s="31"/>
    </row>
    <row r="22" spans="1:7" ht="15">
      <c r="B22" s="18" t="s">
        <v>92</v>
      </c>
    </row>
  </sheetData>
  <mergeCells count="7">
    <mergeCell ref="D13:F13"/>
    <mergeCell ref="A16:A19"/>
    <mergeCell ref="P3:R3"/>
    <mergeCell ref="D3:F3"/>
    <mergeCell ref="H3:J3"/>
    <mergeCell ref="A6:A9"/>
    <mergeCell ref="L3:N3"/>
  </mergeCells>
  <pageMargins left="0.5" right="1" top="0.75" bottom="0.75" header="0.75" footer="0.3"/>
  <pageSetup scale="7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2"/>
  <sheetViews>
    <sheetView view="pageBreakPreview" zoomScale="85" zoomScaleNormal="100" zoomScaleSheetLayoutView="85" workbookViewId="0">
      <pane xSplit="3" ySplit="4" topLeftCell="D5" activePane="bottomRight" state="frozen"/>
      <selection activeCell="M11" sqref="M11"/>
      <selection pane="topRight" activeCell="M11" sqref="M11"/>
      <selection pane="bottomLeft" activeCell="M11" sqref="M11"/>
      <selection pane="bottomRight" activeCell="I16" sqref="I16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16384" width="9.140625" style="1"/>
  </cols>
  <sheetData>
    <row r="1" spans="1:19" ht="23.25">
      <c r="A1" s="86" t="s">
        <v>184</v>
      </c>
      <c r="D1" s="96"/>
      <c r="E1" s="97"/>
      <c r="F1" s="97"/>
      <c r="G1" s="97"/>
      <c r="H1" s="97"/>
      <c r="I1" s="97"/>
      <c r="J1" s="97"/>
      <c r="K1" s="97"/>
      <c r="L1" s="99"/>
      <c r="M1" s="99"/>
      <c r="N1" s="99"/>
      <c r="O1" s="99"/>
      <c r="P1" s="99"/>
      <c r="Q1" s="99"/>
      <c r="R1" s="99"/>
    </row>
    <row r="2" spans="1:19" ht="15" thickBot="1"/>
    <row r="3" spans="1:19" ht="15">
      <c r="B3" s="9" t="s">
        <v>9</v>
      </c>
      <c r="D3" s="108">
        <v>40516</v>
      </c>
      <c r="E3" s="106"/>
      <c r="F3" s="107"/>
      <c r="H3" s="108">
        <v>40552</v>
      </c>
      <c r="I3" s="106"/>
      <c r="J3" s="107"/>
      <c r="L3" s="108">
        <v>40580</v>
      </c>
      <c r="M3" s="106"/>
      <c r="N3" s="107"/>
      <c r="P3" s="108">
        <v>40650</v>
      </c>
      <c r="Q3" s="106"/>
      <c r="R3" s="107"/>
    </row>
    <row r="4" spans="1:19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</row>
    <row r="5" spans="1:19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3.1" customHeight="1">
      <c r="A6" s="109" t="s">
        <v>13</v>
      </c>
      <c r="B6" s="6" t="s">
        <v>1</v>
      </c>
      <c r="C6" s="13"/>
      <c r="D6" s="10" t="s">
        <v>15</v>
      </c>
      <c r="E6" s="20">
        <v>2.2999999999999998</v>
      </c>
      <c r="F6" s="21">
        <f>0.87*35</f>
        <v>30.45</v>
      </c>
      <c r="G6" s="27"/>
      <c r="H6" s="28" t="s">
        <v>15</v>
      </c>
      <c r="I6" s="20">
        <v>2.16</v>
      </c>
      <c r="J6" s="21">
        <f>0.69*35</f>
        <v>24.15</v>
      </c>
      <c r="K6" s="27"/>
      <c r="L6" s="28" t="s">
        <v>15</v>
      </c>
      <c r="M6" s="20">
        <v>1.28</v>
      </c>
      <c r="N6" s="21">
        <f>0.93*35</f>
        <v>32.550000000000004</v>
      </c>
      <c r="O6" s="27"/>
      <c r="P6" s="28" t="s">
        <v>15</v>
      </c>
      <c r="Q6" s="20">
        <v>1.24</v>
      </c>
      <c r="R6" s="21">
        <f>1.01*35</f>
        <v>35.35</v>
      </c>
      <c r="S6" s="27"/>
    </row>
    <row r="7" spans="1:19" ht="23.1" customHeight="1">
      <c r="A7" s="110"/>
      <c r="B7" s="7" t="s">
        <v>2</v>
      </c>
      <c r="C7" s="13"/>
      <c r="D7" s="11" t="s">
        <v>15</v>
      </c>
      <c r="E7" s="22">
        <v>2.2000000000000002</v>
      </c>
      <c r="F7" s="23">
        <f>0.77*35</f>
        <v>26.95</v>
      </c>
      <c r="G7" s="27"/>
      <c r="H7" s="29" t="s">
        <v>15</v>
      </c>
      <c r="I7" s="22">
        <v>1.91</v>
      </c>
      <c r="J7" s="23">
        <f>0.55*35</f>
        <v>19.25</v>
      </c>
      <c r="K7" s="27"/>
      <c r="L7" s="29" t="s">
        <v>15</v>
      </c>
      <c r="M7" s="22">
        <v>1.04</v>
      </c>
      <c r="N7" s="23">
        <f>0.91*35</f>
        <v>31.85</v>
      </c>
      <c r="O7" s="27"/>
      <c r="P7" s="29" t="s">
        <v>15</v>
      </c>
      <c r="Q7" s="22">
        <v>1.07</v>
      </c>
      <c r="R7" s="23">
        <f>1.05*35</f>
        <v>36.75</v>
      </c>
      <c r="S7" s="27"/>
    </row>
    <row r="8" spans="1:19" ht="23.1" customHeight="1">
      <c r="A8" s="110"/>
      <c r="B8" s="7" t="s">
        <v>3</v>
      </c>
      <c r="C8" s="13"/>
      <c r="D8" s="11" t="s">
        <v>15</v>
      </c>
      <c r="E8" s="22">
        <v>1.79</v>
      </c>
      <c r="F8" s="23">
        <f>0.72*35</f>
        <v>25.2</v>
      </c>
      <c r="G8" s="27"/>
      <c r="H8" s="29" t="s">
        <v>15</v>
      </c>
      <c r="I8" s="22">
        <v>1.56</v>
      </c>
      <c r="J8" s="23">
        <f>0.54*35</f>
        <v>18.900000000000002</v>
      </c>
      <c r="K8" s="27"/>
      <c r="L8" s="29" t="s">
        <v>15</v>
      </c>
      <c r="M8" s="22">
        <v>1.1100000000000001</v>
      </c>
      <c r="N8" s="23">
        <f>0.74*35</f>
        <v>25.9</v>
      </c>
      <c r="O8" s="27"/>
      <c r="P8" s="29" t="s">
        <v>15</v>
      </c>
      <c r="Q8" s="22">
        <v>1.1100000000000001</v>
      </c>
      <c r="R8" s="23">
        <f>1.27*35</f>
        <v>44.45</v>
      </c>
      <c r="S8" s="27"/>
    </row>
    <row r="9" spans="1:19" ht="23.1" customHeight="1" thickBot="1">
      <c r="A9" s="111"/>
      <c r="B9" s="8" t="s">
        <v>4</v>
      </c>
      <c r="C9" s="13"/>
      <c r="D9" s="12" t="s">
        <v>15</v>
      </c>
      <c r="E9" s="46"/>
      <c r="F9" s="47"/>
      <c r="G9" s="27"/>
      <c r="H9" s="30" t="s">
        <v>15</v>
      </c>
      <c r="I9" s="59">
        <v>1.67</v>
      </c>
      <c r="J9" s="60">
        <f>0.59*35</f>
        <v>20.65</v>
      </c>
      <c r="K9" s="27"/>
      <c r="L9" s="30" t="s">
        <v>15</v>
      </c>
      <c r="M9" s="59">
        <v>1.41</v>
      </c>
      <c r="N9" s="60">
        <f>0.81*35</f>
        <v>28.35</v>
      </c>
      <c r="O9" s="27"/>
      <c r="P9" s="30" t="s">
        <v>15</v>
      </c>
      <c r="Q9" s="46"/>
      <c r="R9" s="47"/>
      <c r="S9" s="27"/>
    </row>
    <row r="10" spans="1:19" s="3" customFormat="1" ht="5.0999999999999996" customHeight="1">
      <c r="A10" s="14"/>
      <c r="B10" s="15"/>
      <c r="C10" s="13"/>
      <c r="D10" s="16"/>
      <c r="E10" s="26"/>
      <c r="F10" s="26"/>
      <c r="G10" s="31"/>
      <c r="H10" s="32"/>
      <c r="I10" s="26"/>
      <c r="J10" s="26"/>
      <c r="K10" s="31"/>
      <c r="L10" s="32"/>
      <c r="M10" s="26"/>
      <c r="N10" s="26"/>
      <c r="O10" s="31"/>
      <c r="P10" s="32"/>
      <c r="Q10" s="26"/>
      <c r="R10" s="26"/>
      <c r="S10" s="31"/>
    </row>
    <row r="12" spans="1:19" ht="15" thickBot="1"/>
    <row r="13" spans="1:19" ht="15">
      <c r="B13" s="9" t="s">
        <v>9</v>
      </c>
      <c r="D13" s="108">
        <v>40704</v>
      </c>
      <c r="E13" s="106"/>
      <c r="F13" s="107"/>
    </row>
    <row r="14" spans="1:19" ht="45.75" thickBot="1">
      <c r="A14" s="2"/>
      <c r="B14" s="2"/>
      <c r="C14" s="4"/>
      <c r="D14" s="63" t="s">
        <v>6</v>
      </c>
      <c r="E14" s="61" t="s">
        <v>7</v>
      </c>
      <c r="F14" s="64" t="s">
        <v>8</v>
      </c>
      <c r="G14" s="5"/>
    </row>
    <row r="15" spans="1:19" ht="4.5" customHeight="1" thickBot="1">
      <c r="A15" s="17"/>
      <c r="B15" s="17"/>
      <c r="C15" s="13"/>
      <c r="D15" s="17"/>
      <c r="E15" s="17"/>
      <c r="F15" s="17"/>
      <c r="G15" s="17"/>
    </row>
    <row r="16" spans="1:19" ht="23.1" customHeight="1">
      <c r="A16" s="109" t="s">
        <v>13</v>
      </c>
      <c r="B16" s="6" t="s">
        <v>1</v>
      </c>
      <c r="C16" s="13"/>
      <c r="D16" s="10" t="s">
        <v>15</v>
      </c>
      <c r="E16" s="20">
        <v>2.35</v>
      </c>
      <c r="F16" s="21">
        <f>1.11*35</f>
        <v>38.85</v>
      </c>
      <c r="G16" s="27"/>
    </row>
    <row r="17" spans="1:7" ht="23.1" customHeight="1">
      <c r="A17" s="110"/>
      <c r="B17" s="7" t="s">
        <v>2</v>
      </c>
      <c r="C17" s="13"/>
      <c r="D17" s="11" t="s">
        <v>15</v>
      </c>
      <c r="E17" s="22">
        <v>1.29</v>
      </c>
      <c r="F17" s="23">
        <f>1.24*35</f>
        <v>43.4</v>
      </c>
      <c r="G17" s="27"/>
    </row>
    <row r="18" spans="1:7" ht="23.1" customHeight="1">
      <c r="A18" s="110"/>
      <c r="B18" s="7" t="s">
        <v>3</v>
      </c>
      <c r="C18" s="13"/>
      <c r="D18" s="11" t="s">
        <v>15</v>
      </c>
      <c r="E18" s="22">
        <v>1.04</v>
      </c>
      <c r="F18" s="23">
        <f>1.29*35</f>
        <v>45.15</v>
      </c>
      <c r="G18" s="27"/>
    </row>
    <row r="19" spans="1:7" ht="23.1" customHeight="1" thickBot="1">
      <c r="A19" s="111"/>
      <c r="B19" s="8" t="s">
        <v>4</v>
      </c>
      <c r="C19" s="13"/>
      <c r="D19" s="12" t="s">
        <v>15</v>
      </c>
      <c r="E19" s="46"/>
      <c r="F19" s="47"/>
      <c r="G19" s="27"/>
    </row>
    <row r="20" spans="1:7" ht="4.5" customHeight="1">
      <c r="A20" s="14"/>
      <c r="B20" s="15"/>
      <c r="C20" s="13"/>
      <c r="D20" s="16"/>
      <c r="E20" s="26"/>
      <c r="F20" s="26"/>
      <c r="G20" s="31"/>
    </row>
    <row r="22" spans="1:7" ht="15">
      <c r="B22" s="18" t="s">
        <v>92</v>
      </c>
    </row>
  </sheetData>
  <mergeCells count="7">
    <mergeCell ref="D13:F13"/>
    <mergeCell ref="A16:A19"/>
    <mergeCell ref="P3:R3"/>
    <mergeCell ref="D3:F3"/>
    <mergeCell ref="H3:J3"/>
    <mergeCell ref="A6:A9"/>
    <mergeCell ref="L3:N3"/>
  </mergeCells>
  <pageMargins left="0.5" right="1" top="0.75" bottom="0.75" header="0.75" footer="0.3"/>
  <pageSetup scale="7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2"/>
  <sheetViews>
    <sheetView view="pageBreakPreview" zoomScale="85" zoomScaleNormal="100" zoomScaleSheetLayoutView="85" workbookViewId="0">
      <pane xSplit="3" ySplit="4" topLeftCell="D5" activePane="bottomRight" state="frozen"/>
      <selection activeCell="M11" sqref="M11"/>
      <selection pane="topRight" activeCell="M11" sqref="M11"/>
      <selection pane="bottomLeft" activeCell="M11" sqref="M11"/>
      <selection pane="bottomRight" activeCell="R9" sqref="R9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16384" width="9.140625" style="1"/>
  </cols>
  <sheetData>
    <row r="1" spans="1:19" ht="23.25">
      <c r="A1" s="86" t="s">
        <v>185</v>
      </c>
      <c r="D1" s="96"/>
      <c r="E1" s="97"/>
      <c r="F1" s="97"/>
      <c r="G1" s="97"/>
      <c r="H1" s="97"/>
      <c r="I1" s="97"/>
      <c r="J1" s="97"/>
      <c r="K1" s="97"/>
    </row>
    <row r="2" spans="1:19" ht="15" thickBot="1"/>
    <row r="3" spans="1:19" ht="15">
      <c r="B3" s="9" t="s">
        <v>9</v>
      </c>
      <c r="D3" s="108">
        <v>40516</v>
      </c>
      <c r="E3" s="106"/>
      <c r="F3" s="107"/>
      <c r="H3" s="108">
        <v>40552</v>
      </c>
      <c r="I3" s="106"/>
      <c r="J3" s="107"/>
      <c r="L3" s="108">
        <v>40580</v>
      </c>
      <c r="M3" s="106"/>
      <c r="N3" s="107"/>
      <c r="P3" s="108">
        <v>40704</v>
      </c>
      <c r="Q3" s="106"/>
      <c r="R3" s="107"/>
    </row>
    <row r="4" spans="1:19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</row>
    <row r="5" spans="1:19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3.1" customHeight="1">
      <c r="A6" s="109" t="s">
        <v>13</v>
      </c>
      <c r="B6" s="6" t="s">
        <v>1</v>
      </c>
      <c r="C6" s="13"/>
      <c r="D6" s="10" t="s">
        <v>15</v>
      </c>
      <c r="E6" s="20">
        <v>5.54</v>
      </c>
      <c r="F6" s="21">
        <f>3.75*35</f>
        <v>131.25</v>
      </c>
      <c r="G6" s="27"/>
      <c r="H6" s="28" t="s">
        <v>15</v>
      </c>
      <c r="I6" s="20">
        <v>4.76</v>
      </c>
      <c r="J6" s="21">
        <f>2.66*35</f>
        <v>93.100000000000009</v>
      </c>
      <c r="K6" s="27"/>
      <c r="L6" s="28" t="s">
        <v>15</v>
      </c>
      <c r="M6" s="20">
        <v>3.52</v>
      </c>
      <c r="N6" s="21">
        <f>2.18*35</f>
        <v>76.300000000000011</v>
      </c>
      <c r="O6" s="27"/>
      <c r="P6" s="28" t="s">
        <v>15</v>
      </c>
      <c r="Q6" s="20">
        <v>4.33</v>
      </c>
      <c r="R6" s="21">
        <f>10.4*35</f>
        <v>364</v>
      </c>
      <c r="S6" s="27"/>
    </row>
    <row r="7" spans="1:19" ht="23.1" customHeight="1">
      <c r="A7" s="110"/>
      <c r="B7" s="7" t="s">
        <v>2</v>
      </c>
      <c r="C7" s="13"/>
      <c r="D7" s="11" t="s">
        <v>15</v>
      </c>
      <c r="E7" s="22">
        <v>2.65</v>
      </c>
      <c r="F7" s="23">
        <f>3.94*35</f>
        <v>137.9</v>
      </c>
      <c r="G7" s="27"/>
      <c r="H7" s="29" t="s">
        <v>15</v>
      </c>
      <c r="I7" s="22">
        <v>3.65</v>
      </c>
      <c r="J7" s="23">
        <f>2.26*35</f>
        <v>79.099999999999994</v>
      </c>
      <c r="K7" s="27"/>
      <c r="L7" s="29" t="s">
        <v>15</v>
      </c>
      <c r="M7" s="22">
        <v>3.75</v>
      </c>
      <c r="N7" s="23">
        <f>4.18*35</f>
        <v>146.29999999999998</v>
      </c>
      <c r="O7" s="27"/>
      <c r="P7" s="29" t="s">
        <v>15</v>
      </c>
      <c r="Q7" s="22">
        <v>4.1399999999999997</v>
      </c>
      <c r="R7" s="23">
        <f>10.3*35</f>
        <v>360.5</v>
      </c>
      <c r="S7" s="27"/>
    </row>
    <row r="8" spans="1:19" ht="23.1" customHeight="1">
      <c r="A8" s="110"/>
      <c r="B8" s="7" t="s">
        <v>3</v>
      </c>
      <c r="C8" s="13"/>
      <c r="D8" s="11" t="s">
        <v>15</v>
      </c>
      <c r="E8" s="22">
        <v>3.63</v>
      </c>
      <c r="F8" s="23">
        <f>6.64*35</f>
        <v>232.39999999999998</v>
      </c>
      <c r="G8" s="27"/>
      <c r="H8" s="29" t="s">
        <v>15</v>
      </c>
      <c r="I8" s="22">
        <v>3.78</v>
      </c>
      <c r="J8" s="23">
        <f>3.62*35</f>
        <v>126.7</v>
      </c>
      <c r="K8" s="27"/>
      <c r="L8" s="29" t="s">
        <v>15</v>
      </c>
      <c r="M8" s="22">
        <v>2.15</v>
      </c>
      <c r="N8" s="23">
        <f>3*35</f>
        <v>105</v>
      </c>
      <c r="O8" s="27"/>
      <c r="P8" s="29" t="s">
        <v>15</v>
      </c>
      <c r="Q8" s="22">
        <v>4.37</v>
      </c>
      <c r="R8" s="23">
        <f>10.1*35</f>
        <v>353.5</v>
      </c>
      <c r="S8" s="27"/>
    </row>
    <row r="9" spans="1:19" ht="23.1" customHeight="1" thickBot="1">
      <c r="A9" s="111"/>
      <c r="B9" s="8" t="s">
        <v>4</v>
      </c>
      <c r="C9" s="13"/>
      <c r="D9" s="12" t="s">
        <v>15</v>
      </c>
      <c r="E9" s="46"/>
      <c r="F9" s="47"/>
      <c r="G9" s="27"/>
      <c r="H9" s="30" t="s">
        <v>15</v>
      </c>
      <c r="I9" s="59">
        <v>3.04</v>
      </c>
      <c r="J9" s="60">
        <f>5.32*35</f>
        <v>186.20000000000002</v>
      </c>
      <c r="K9" s="27"/>
      <c r="L9" s="30" t="s">
        <v>15</v>
      </c>
      <c r="M9" s="59">
        <v>2.5299999999999998</v>
      </c>
      <c r="N9" s="60">
        <f>3.07*35</f>
        <v>107.44999999999999</v>
      </c>
      <c r="O9" s="27"/>
      <c r="P9" s="30" t="s">
        <v>15</v>
      </c>
      <c r="Q9" s="46"/>
      <c r="R9" s="47"/>
      <c r="S9" s="27"/>
    </row>
    <row r="10" spans="1:19" s="3" customFormat="1" ht="5.0999999999999996" customHeight="1">
      <c r="A10" s="14"/>
      <c r="B10" s="15"/>
      <c r="C10" s="13"/>
      <c r="D10" s="16"/>
      <c r="E10" s="26"/>
      <c r="F10" s="26"/>
      <c r="G10" s="31"/>
      <c r="H10" s="32"/>
      <c r="I10" s="26"/>
      <c r="J10" s="26"/>
      <c r="K10" s="31"/>
      <c r="L10" s="32"/>
      <c r="M10" s="26"/>
      <c r="N10" s="26"/>
      <c r="O10" s="31"/>
      <c r="P10" s="32"/>
      <c r="Q10" s="26"/>
      <c r="R10" s="26"/>
      <c r="S10" s="31"/>
    </row>
    <row r="12" spans="1:19" ht="15">
      <c r="B12" s="18" t="s">
        <v>92</v>
      </c>
    </row>
  </sheetData>
  <mergeCells count="5">
    <mergeCell ref="D3:F3"/>
    <mergeCell ref="H3:J3"/>
    <mergeCell ref="A6:A9"/>
    <mergeCell ref="L3:N3"/>
    <mergeCell ref="P3:R3"/>
  </mergeCells>
  <pageMargins left="0.5" right="1" top="0.75" bottom="0.75" header="0.75" footer="0.3"/>
  <pageSetup scale="7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36"/>
  <sheetViews>
    <sheetView topLeftCell="A316" zoomScaleNormal="100" workbookViewId="0">
      <selection activeCell="K336" sqref="K336"/>
    </sheetView>
  </sheetViews>
  <sheetFormatPr defaultRowHeight="15"/>
  <cols>
    <col min="1" max="1" width="10.7109375" bestFit="1" customWidth="1"/>
    <col min="2" max="3" width="23" bestFit="1" customWidth="1"/>
    <col min="4" max="4" width="24" bestFit="1" customWidth="1"/>
    <col min="5" max="5" width="25" bestFit="1" customWidth="1"/>
    <col min="7" max="7" width="10.7109375" bestFit="1" customWidth="1"/>
    <col min="8" max="8" width="23" bestFit="1" customWidth="1"/>
    <col min="9" max="9" width="22.42578125" bestFit="1" customWidth="1"/>
    <col min="10" max="10" width="24" bestFit="1" customWidth="1"/>
    <col min="11" max="11" width="25" bestFit="1" customWidth="1"/>
  </cols>
  <sheetData>
    <row r="1" spans="1:11">
      <c r="A1" t="s">
        <v>22</v>
      </c>
      <c r="G1" t="s">
        <v>31</v>
      </c>
    </row>
    <row r="3" spans="1:11">
      <c r="A3" t="s">
        <v>23</v>
      </c>
      <c r="B3" t="s">
        <v>27</v>
      </c>
      <c r="C3" t="s">
        <v>28</v>
      </c>
      <c r="D3" t="s">
        <v>29</v>
      </c>
      <c r="E3" t="s">
        <v>30</v>
      </c>
      <c r="G3" t="s">
        <v>23</v>
      </c>
      <c r="H3" t="s">
        <v>27</v>
      </c>
      <c r="I3" t="s">
        <v>32</v>
      </c>
      <c r="J3" t="s">
        <v>29</v>
      </c>
      <c r="K3" t="s">
        <v>30</v>
      </c>
    </row>
    <row r="4" spans="1:11">
      <c r="A4" s="19">
        <v>40336</v>
      </c>
      <c r="B4">
        <v>3.28</v>
      </c>
      <c r="C4">
        <v>3.56</v>
      </c>
      <c r="D4">
        <v>3.26</v>
      </c>
      <c r="E4" s="39"/>
      <c r="G4" s="19">
        <v>40336</v>
      </c>
      <c r="H4">
        <v>87.5</v>
      </c>
      <c r="I4">
        <v>88.9</v>
      </c>
      <c r="J4">
        <v>66.5</v>
      </c>
      <c r="K4" s="39"/>
    </row>
    <row r="5" spans="1:11">
      <c r="A5" s="19">
        <v>40389</v>
      </c>
      <c r="B5">
        <v>3.88</v>
      </c>
      <c r="C5">
        <v>3.9</v>
      </c>
      <c r="D5">
        <v>3.9</v>
      </c>
      <c r="E5">
        <v>3.25</v>
      </c>
      <c r="G5" s="19">
        <v>40389</v>
      </c>
      <c r="H5">
        <v>150.5</v>
      </c>
      <c r="I5">
        <v>176.4</v>
      </c>
      <c r="J5">
        <v>180.6</v>
      </c>
      <c r="K5">
        <v>69.3</v>
      </c>
    </row>
    <row r="6" spans="1:11">
      <c r="A6" s="19">
        <v>40396</v>
      </c>
      <c r="B6">
        <v>3.82</v>
      </c>
      <c r="C6">
        <v>3.64</v>
      </c>
      <c r="D6">
        <v>3.59</v>
      </c>
      <c r="E6">
        <v>4.05</v>
      </c>
      <c r="G6" s="19">
        <v>40396</v>
      </c>
      <c r="H6">
        <v>158.19999999999999</v>
      </c>
      <c r="I6">
        <v>65.099999999999994</v>
      </c>
      <c r="J6">
        <v>86.8</v>
      </c>
      <c r="K6">
        <v>165.2</v>
      </c>
    </row>
    <row r="7" spans="1:11">
      <c r="A7" s="19">
        <v>40408</v>
      </c>
      <c r="B7">
        <v>4.3499999999999996</v>
      </c>
      <c r="C7">
        <v>4.29</v>
      </c>
      <c r="D7">
        <v>3.55</v>
      </c>
      <c r="E7">
        <v>4.16</v>
      </c>
      <c r="G7" s="19">
        <v>40408</v>
      </c>
      <c r="H7">
        <v>237.3</v>
      </c>
      <c r="I7">
        <v>142.80000000000001</v>
      </c>
      <c r="J7">
        <v>68.599999999999994</v>
      </c>
      <c r="K7">
        <v>249.2</v>
      </c>
    </row>
    <row r="8" spans="1:11">
      <c r="A8" s="19">
        <v>40417</v>
      </c>
      <c r="B8">
        <v>4.96</v>
      </c>
      <c r="C8">
        <v>5.96</v>
      </c>
      <c r="D8">
        <v>4.51</v>
      </c>
      <c r="E8">
        <v>4.83</v>
      </c>
      <c r="G8" s="19">
        <v>40417</v>
      </c>
      <c r="H8">
        <v>231</v>
      </c>
      <c r="I8">
        <v>218.05</v>
      </c>
      <c r="J8">
        <v>178.5</v>
      </c>
      <c r="K8">
        <v>266</v>
      </c>
    </row>
    <row r="9" spans="1:11">
      <c r="A9" s="19">
        <v>40423</v>
      </c>
      <c r="B9">
        <v>3.99</v>
      </c>
      <c r="C9">
        <v>3.87</v>
      </c>
      <c r="D9">
        <v>4.18</v>
      </c>
      <c r="E9">
        <v>4.0199999999999996</v>
      </c>
      <c r="G9" s="19">
        <v>40423</v>
      </c>
      <c r="H9">
        <v>168.7</v>
      </c>
      <c r="I9">
        <v>143.85</v>
      </c>
      <c r="J9">
        <v>112</v>
      </c>
      <c r="K9">
        <v>148.75</v>
      </c>
    </row>
    <row r="10" spans="1:11">
      <c r="A10" s="19">
        <v>40430</v>
      </c>
      <c r="B10">
        <v>5.0999999999999996</v>
      </c>
      <c r="C10">
        <v>4.79</v>
      </c>
      <c r="D10">
        <v>4.17</v>
      </c>
      <c r="E10">
        <v>5.21</v>
      </c>
      <c r="G10" s="19">
        <v>40430</v>
      </c>
      <c r="H10">
        <v>406</v>
      </c>
      <c r="I10">
        <v>305.89999999999998</v>
      </c>
      <c r="J10">
        <v>230.3</v>
      </c>
      <c r="K10">
        <v>305.89999999999998</v>
      </c>
    </row>
    <row r="11" spans="1:11">
      <c r="A11" s="19">
        <v>40437</v>
      </c>
      <c r="B11">
        <v>6.69</v>
      </c>
      <c r="C11">
        <v>5.94</v>
      </c>
      <c r="D11">
        <v>5.05</v>
      </c>
      <c r="E11">
        <v>4.6100000000000003</v>
      </c>
      <c r="G11" s="19">
        <v>40437</v>
      </c>
      <c r="H11">
        <v>570.5</v>
      </c>
      <c r="I11">
        <v>309.75</v>
      </c>
      <c r="J11">
        <v>295.75</v>
      </c>
      <c r="K11">
        <v>287</v>
      </c>
    </row>
    <row r="12" spans="1:11">
      <c r="A12" s="19">
        <v>40448</v>
      </c>
      <c r="B12">
        <v>6.24</v>
      </c>
      <c r="C12">
        <v>5.63</v>
      </c>
      <c r="D12">
        <v>4.8</v>
      </c>
      <c r="E12">
        <v>4.97</v>
      </c>
      <c r="G12" s="19">
        <v>40449</v>
      </c>
      <c r="H12">
        <v>602</v>
      </c>
      <c r="I12">
        <v>326.2</v>
      </c>
      <c r="J12">
        <v>253.05</v>
      </c>
      <c r="K12">
        <v>316.39999999999998</v>
      </c>
    </row>
    <row r="13" spans="1:11" s="65" customFormat="1">
      <c r="A13" s="19">
        <v>40453</v>
      </c>
      <c r="B13" s="65">
        <v>6.56</v>
      </c>
      <c r="C13" s="65">
        <v>6.16</v>
      </c>
      <c r="D13" s="65">
        <v>4.76</v>
      </c>
      <c r="E13" s="65">
        <v>4.4800000000000004</v>
      </c>
      <c r="G13" s="19">
        <v>40453</v>
      </c>
      <c r="H13" s="65">
        <v>302.75</v>
      </c>
      <c r="I13" s="65">
        <v>220.5</v>
      </c>
      <c r="J13" s="65">
        <v>204.75</v>
      </c>
      <c r="K13" s="65">
        <v>182</v>
      </c>
    </row>
    <row r="14" spans="1:11" s="56" customFormat="1">
      <c r="A14" s="19">
        <v>40461</v>
      </c>
      <c r="B14" s="56">
        <v>5.52</v>
      </c>
      <c r="C14" s="56">
        <v>7.78</v>
      </c>
      <c r="D14" s="56">
        <v>4.88</v>
      </c>
      <c r="E14" s="56">
        <v>4.29</v>
      </c>
      <c r="G14" s="19">
        <v>40461</v>
      </c>
      <c r="H14" s="56">
        <v>329.7</v>
      </c>
      <c r="I14" s="56">
        <v>269.85000000000002</v>
      </c>
      <c r="J14" s="56">
        <v>181.3</v>
      </c>
      <c r="K14" s="56">
        <v>179.2</v>
      </c>
    </row>
    <row r="16" spans="1:11">
      <c r="A16" t="s">
        <v>23</v>
      </c>
      <c r="B16" t="s">
        <v>24</v>
      </c>
      <c r="C16" t="s">
        <v>33</v>
      </c>
      <c r="D16" t="s">
        <v>25</v>
      </c>
      <c r="E16" t="s">
        <v>26</v>
      </c>
      <c r="G16" t="s">
        <v>23</v>
      </c>
      <c r="H16" t="s">
        <v>24</v>
      </c>
      <c r="I16" t="s">
        <v>33</v>
      </c>
      <c r="J16" t="s">
        <v>25</v>
      </c>
      <c r="K16" t="s">
        <v>26</v>
      </c>
    </row>
    <row r="17" spans="1:11">
      <c r="A17" s="19">
        <v>40336</v>
      </c>
      <c r="B17">
        <v>3.38</v>
      </c>
      <c r="C17">
        <v>4.04</v>
      </c>
      <c r="D17">
        <v>3.81</v>
      </c>
      <c r="E17" s="39"/>
      <c r="G17" s="19">
        <v>40336</v>
      </c>
      <c r="H17">
        <v>71.400000000000006</v>
      </c>
      <c r="I17">
        <v>71.400000000000006</v>
      </c>
      <c r="J17">
        <v>85.4</v>
      </c>
      <c r="K17" s="39"/>
    </row>
    <row r="18" spans="1:11">
      <c r="A18" s="19">
        <v>40389</v>
      </c>
      <c r="B18">
        <v>4.2300000000000004</v>
      </c>
      <c r="C18">
        <v>3.82</v>
      </c>
      <c r="D18">
        <v>3.88</v>
      </c>
      <c r="E18">
        <v>3.76</v>
      </c>
      <c r="G18" s="19">
        <v>40389</v>
      </c>
      <c r="H18">
        <v>151.19999999999999</v>
      </c>
      <c r="I18">
        <v>137.19999999999999</v>
      </c>
      <c r="J18">
        <v>177.8</v>
      </c>
      <c r="K18">
        <v>126.7</v>
      </c>
    </row>
    <row r="19" spans="1:11">
      <c r="A19" s="19">
        <v>40396</v>
      </c>
      <c r="B19">
        <v>5.0599999999999996</v>
      </c>
      <c r="C19">
        <v>4.25</v>
      </c>
      <c r="D19">
        <v>3.44</v>
      </c>
      <c r="E19">
        <v>4.09</v>
      </c>
      <c r="G19" s="19">
        <v>40396</v>
      </c>
      <c r="H19">
        <v>189</v>
      </c>
      <c r="I19">
        <v>128.80000000000001</v>
      </c>
      <c r="J19">
        <v>87.5</v>
      </c>
      <c r="K19">
        <v>262.5</v>
      </c>
    </row>
    <row r="20" spans="1:11">
      <c r="A20" s="19">
        <v>40408</v>
      </c>
      <c r="B20">
        <v>4.72</v>
      </c>
      <c r="C20">
        <v>3.74</v>
      </c>
      <c r="D20">
        <v>4.0999999999999996</v>
      </c>
      <c r="E20">
        <v>4.96</v>
      </c>
      <c r="G20" s="19">
        <v>40408</v>
      </c>
      <c r="H20">
        <v>206.5</v>
      </c>
      <c r="I20">
        <v>114.1</v>
      </c>
      <c r="J20">
        <v>124.6</v>
      </c>
      <c r="K20">
        <v>250.6</v>
      </c>
    </row>
    <row r="21" spans="1:11">
      <c r="A21" s="19">
        <v>40417</v>
      </c>
      <c r="B21">
        <v>5.26</v>
      </c>
      <c r="C21">
        <v>9.9700000000000006</v>
      </c>
      <c r="D21">
        <v>3.7</v>
      </c>
      <c r="E21">
        <v>3.58</v>
      </c>
      <c r="G21" s="19">
        <v>40417</v>
      </c>
      <c r="H21">
        <v>283.5</v>
      </c>
      <c r="I21">
        <v>297.5</v>
      </c>
      <c r="J21">
        <v>98.7</v>
      </c>
      <c r="K21">
        <v>97.3</v>
      </c>
    </row>
    <row r="22" spans="1:11">
      <c r="A22" s="19">
        <v>40423</v>
      </c>
      <c r="B22">
        <v>6.98</v>
      </c>
      <c r="C22">
        <v>4.28</v>
      </c>
      <c r="D22">
        <v>4.29</v>
      </c>
      <c r="E22">
        <v>4.83</v>
      </c>
      <c r="G22" s="19">
        <v>40423</v>
      </c>
      <c r="H22">
        <v>294</v>
      </c>
      <c r="I22">
        <v>252</v>
      </c>
      <c r="J22">
        <v>166.25</v>
      </c>
      <c r="K22">
        <v>178.5</v>
      </c>
    </row>
    <row r="23" spans="1:11">
      <c r="A23" s="19">
        <v>40430</v>
      </c>
      <c r="B23">
        <v>5</v>
      </c>
      <c r="C23">
        <v>4.6900000000000004</v>
      </c>
      <c r="D23">
        <v>4.55</v>
      </c>
      <c r="E23">
        <v>4.75</v>
      </c>
      <c r="G23" s="19">
        <v>40430</v>
      </c>
      <c r="H23">
        <v>31.5</v>
      </c>
      <c r="I23">
        <v>196.7</v>
      </c>
      <c r="J23">
        <v>124.6</v>
      </c>
      <c r="K23">
        <v>306.60000000000002</v>
      </c>
    </row>
    <row r="24" spans="1:11">
      <c r="A24" s="19">
        <v>40437</v>
      </c>
      <c r="B24">
        <v>7.03</v>
      </c>
      <c r="C24">
        <v>5.8</v>
      </c>
      <c r="D24">
        <v>3.9</v>
      </c>
      <c r="E24">
        <v>4.13</v>
      </c>
      <c r="G24" s="19">
        <v>40437</v>
      </c>
      <c r="H24">
        <v>187.6</v>
      </c>
      <c r="I24">
        <v>201.6</v>
      </c>
      <c r="J24">
        <v>89.6</v>
      </c>
      <c r="K24">
        <v>107.1</v>
      </c>
    </row>
    <row r="25" spans="1:11">
      <c r="A25" s="19">
        <v>40448</v>
      </c>
      <c r="B25">
        <v>4.9400000000000004</v>
      </c>
      <c r="C25">
        <v>5.99</v>
      </c>
      <c r="D25">
        <v>4.7300000000000004</v>
      </c>
      <c r="E25">
        <v>3.71</v>
      </c>
      <c r="G25" s="19">
        <v>40449</v>
      </c>
      <c r="H25">
        <v>217</v>
      </c>
      <c r="I25">
        <v>187.25</v>
      </c>
      <c r="J25">
        <v>155.75</v>
      </c>
      <c r="K25">
        <v>82.6</v>
      </c>
    </row>
    <row r="26" spans="1:11" s="65" customFormat="1">
      <c r="A26" s="19">
        <v>40453</v>
      </c>
      <c r="B26" s="65">
        <v>4.5999999999999996</v>
      </c>
      <c r="C26" s="65">
        <v>4.53</v>
      </c>
      <c r="D26" s="65">
        <v>4.7</v>
      </c>
      <c r="E26" s="65">
        <v>4.4800000000000004</v>
      </c>
      <c r="G26" s="19">
        <v>40453</v>
      </c>
      <c r="H26" s="65">
        <v>245</v>
      </c>
      <c r="I26" s="65">
        <v>147</v>
      </c>
      <c r="J26" s="65">
        <v>78.75</v>
      </c>
      <c r="K26" s="65">
        <v>106.75</v>
      </c>
    </row>
    <row r="27" spans="1:11" s="56" customFormat="1">
      <c r="A27" s="19">
        <v>40461</v>
      </c>
      <c r="B27" s="56">
        <v>3.75</v>
      </c>
      <c r="C27" s="56">
        <v>9.14</v>
      </c>
      <c r="D27" s="56">
        <v>5.77</v>
      </c>
      <c r="E27" s="56">
        <v>4.0999999999999996</v>
      </c>
      <c r="G27" s="19">
        <v>40461</v>
      </c>
      <c r="H27" s="56">
        <v>177.1</v>
      </c>
      <c r="I27" s="56">
        <v>66.150000000000006</v>
      </c>
      <c r="J27" s="56">
        <v>92.75</v>
      </c>
      <c r="K27" s="56">
        <v>115.5</v>
      </c>
    </row>
    <row r="28" spans="1:11" s="56" customFormat="1">
      <c r="A28" s="19">
        <v>40467</v>
      </c>
      <c r="B28" s="56">
        <v>5.48</v>
      </c>
      <c r="C28" s="56">
        <v>8.8699999999999992</v>
      </c>
      <c r="D28" s="56">
        <v>5.26</v>
      </c>
      <c r="E28" s="56">
        <v>4.04</v>
      </c>
      <c r="G28" s="19">
        <v>40467</v>
      </c>
      <c r="H28" s="56">
        <v>220.5</v>
      </c>
      <c r="I28" s="56">
        <v>112.7</v>
      </c>
      <c r="J28" s="56">
        <v>101.5</v>
      </c>
      <c r="K28" s="56">
        <v>80.5</v>
      </c>
    </row>
    <row r="29" spans="1:11" s="65" customFormat="1">
      <c r="A29" s="19">
        <v>40497</v>
      </c>
      <c r="B29" s="65">
        <v>4.0999999999999996</v>
      </c>
      <c r="C29" s="65">
        <v>3.9</v>
      </c>
      <c r="D29" s="65">
        <v>3.71</v>
      </c>
      <c r="E29" s="65">
        <v>3.58</v>
      </c>
      <c r="G29" s="19">
        <v>40497</v>
      </c>
      <c r="H29" s="65">
        <v>80.150000000000006</v>
      </c>
      <c r="I29" s="65">
        <v>53.9</v>
      </c>
      <c r="J29" s="65">
        <v>50.75</v>
      </c>
      <c r="K29" s="65">
        <v>56</v>
      </c>
    </row>
    <row r="30" spans="1:11" s="65" customFormat="1">
      <c r="A30" s="19">
        <v>40510</v>
      </c>
      <c r="B30" s="65">
        <v>4.21</v>
      </c>
      <c r="C30" s="65">
        <v>5.74</v>
      </c>
      <c r="D30" s="65">
        <v>5.18</v>
      </c>
      <c r="E30" s="39"/>
      <c r="G30" s="19">
        <v>40510</v>
      </c>
      <c r="H30" s="65">
        <v>121.8</v>
      </c>
      <c r="I30" s="65">
        <v>89.25</v>
      </c>
      <c r="J30" s="65">
        <v>94.5</v>
      </c>
      <c r="K30" s="39"/>
    </row>
    <row r="31" spans="1:11" s="65" customFormat="1">
      <c r="A31" s="19">
        <v>40516</v>
      </c>
      <c r="B31" s="65">
        <v>4.1399999999999997</v>
      </c>
      <c r="C31" s="65">
        <v>5.75</v>
      </c>
      <c r="D31" s="65">
        <v>4.1100000000000003</v>
      </c>
      <c r="E31" s="65">
        <v>3.98</v>
      </c>
      <c r="G31" s="19">
        <v>40516</v>
      </c>
      <c r="H31" s="65">
        <v>122.85</v>
      </c>
      <c r="I31" s="65">
        <v>63.7</v>
      </c>
      <c r="J31" s="65">
        <v>71.75</v>
      </c>
      <c r="K31" s="65">
        <v>52.5</v>
      </c>
    </row>
    <row r="32" spans="1:11" s="65" customFormat="1">
      <c r="A32" s="19">
        <v>40555</v>
      </c>
      <c r="B32" s="65">
        <v>2.64</v>
      </c>
      <c r="C32" s="65">
        <v>7.7</v>
      </c>
      <c r="D32" s="65">
        <v>3.63</v>
      </c>
      <c r="E32" s="78"/>
      <c r="G32" s="19">
        <v>40555</v>
      </c>
      <c r="H32" s="65">
        <v>20.3</v>
      </c>
      <c r="I32" s="65">
        <v>19.600000000000001</v>
      </c>
      <c r="J32" s="65">
        <v>18.899999999999999</v>
      </c>
      <c r="K32" s="78"/>
    </row>
    <row r="33" spans="1:11" s="81" customFormat="1">
      <c r="A33" s="19">
        <v>40675</v>
      </c>
      <c r="B33" s="81">
        <v>3.04</v>
      </c>
      <c r="C33" s="81">
        <v>3.27</v>
      </c>
      <c r="D33" s="81">
        <v>3.15</v>
      </c>
      <c r="E33" s="78"/>
      <c r="G33" s="19">
        <v>40675</v>
      </c>
      <c r="H33" s="81">
        <v>27.65</v>
      </c>
      <c r="I33" s="81">
        <v>44.45</v>
      </c>
      <c r="J33" s="81">
        <v>52.85</v>
      </c>
      <c r="K33" s="78"/>
    </row>
    <row r="35" spans="1:11">
      <c r="A35" t="s">
        <v>23</v>
      </c>
      <c r="B35" t="s">
        <v>87</v>
      </c>
      <c r="C35" t="s">
        <v>86</v>
      </c>
      <c r="D35" t="s">
        <v>88</v>
      </c>
      <c r="E35" t="s">
        <v>89</v>
      </c>
      <c r="G35" t="s">
        <v>23</v>
      </c>
      <c r="H35" t="s">
        <v>87</v>
      </c>
      <c r="I35" t="s">
        <v>86</v>
      </c>
      <c r="J35" t="s">
        <v>88</v>
      </c>
      <c r="K35" t="s">
        <v>89</v>
      </c>
    </row>
    <row r="36" spans="1:11">
      <c r="A36" s="19">
        <v>40336</v>
      </c>
      <c r="B36" s="39"/>
      <c r="C36" s="39"/>
      <c r="D36" s="39"/>
      <c r="E36" s="39"/>
      <c r="G36" s="19">
        <v>40336</v>
      </c>
      <c r="H36" s="39"/>
      <c r="I36" s="39"/>
      <c r="J36" s="39"/>
      <c r="K36" s="39"/>
    </row>
    <row r="37" spans="1:11">
      <c r="A37" s="19">
        <v>40389</v>
      </c>
      <c r="B37" s="39"/>
      <c r="C37" s="39"/>
      <c r="D37" s="39"/>
      <c r="E37" s="39"/>
      <c r="G37" s="19">
        <v>40389</v>
      </c>
      <c r="H37" s="39"/>
      <c r="I37" s="39"/>
      <c r="J37" s="39"/>
      <c r="K37" s="39"/>
    </row>
    <row r="38" spans="1:11">
      <c r="A38" s="19">
        <v>40396</v>
      </c>
      <c r="B38" s="39"/>
      <c r="C38" s="39"/>
      <c r="D38" s="39"/>
      <c r="E38" s="39"/>
      <c r="G38" s="19">
        <v>40396</v>
      </c>
      <c r="H38" s="39"/>
      <c r="I38" s="39"/>
      <c r="J38" s="39"/>
      <c r="K38" s="39"/>
    </row>
    <row r="39" spans="1:11">
      <c r="A39" s="19">
        <v>40408</v>
      </c>
      <c r="B39" s="39"/>
      <c r="C39" s="39"/>
      <c r="D39" s="39"/>
      <c r="E39" s="39"/>
      <c r="G39" s="19">
        <v>40408</v>
      </c>
      <c r="H39" s="39"/>
      <c r="I39" s="39"/>
      <c r="J39" s="39"/>
      <c r="K39" s="39"/>
    </row>
    <row r="40" spans="1:11">
      <c r="A40" s="19">
        <v>40417</v>
      </c>
      <c r="B40" s="39"/>
      <c r="C40" s="39"/>
      <c r="D40" s="39"/>
      <c r="E40" s="39"/>
      <c r="G40" s="19">
        <v>40417</v>
      </c>
      <c r="H40" s="39"/>
      <c r="I40" s="39"/>
      <c r="J40" s="39"/>
      <c r="K40" s="39"/>
    </row>
    <row r="41" spans="1:11">
      <c r="A41" s="19">
        <v>40423</v>
      </c>
      <c r="B41" s="39"/>
      <c r="C41" s="39"/>
      <c r="D41" s="39"/>
      <c r="E41" s="39"/>
      <c r="G41" s="19">
        <v>40423</v>
      </c>
      <c r="H41" s="39"/>
      <c r="I41" s="39"/>
      <c r="J41" s="39"/>
      <c r="K41" s="39"/>
    </row>
    <row r="42" spans="1:11">
      <c r="A42" s="19">
        <v>40430</v>
      </c>
      <c r="B42">
        <v>5.96</v>
      </c>
      <c r="C42">
        <v>6.01</v>
      </c>
      <c r="D42">
        <v>4.74</v>
      </c>
      <c r="E42">
        <v>3.95</v>
      </c>
      <c r="G42" s="19">
        <v>40430</v>
      </c>
      <c r="H42">
        <v>416.5</v>
      </c>
      <c r="I42">
        <v>242.55</v>
      </c>
      <c r="J42">
        <v>199.5</v>
      </c>
      <c r="K42">
        <v>173.6</v>
      </c>
    </row>
    <row r="43" spans="1:11">
      <c r="A43" s="19">
        <v>40437</v>
      </c>
      <c r="B43">
        <v>5.37</v>
      </c>
      <c r="C43">
        <v>6.65</v>
      </c>
      <c r="D43">
        <v>3.84</v>
      </c>
      <c r="E43">
        <v>3.47</v>
      </c>
      <c r="G43" s="19">
        <v>40437</v>
      </c>
      <c r="H43">
        <v>287.7</v>
      </c>
      <c r="I43">
        <v>45.15</v>
      </c>
      <c r="J43">
        <v>141.4</v>
      </c>
      <c r="K43">
        <v>129.85</v>
      </c>
    </row>
    <row r="44" spans="1:11">
      <c r="A44" s="19">
        <v>40448</v>
      </c>
      <c r="B44">
        <v>4.8099999999999996</v>
      </c>
      <c r="C44">
        <v>13.8</v>
      </c>
      <c r="D44">
        <v>3.91</v>
      </c>
      <c r="E44">
        <v>4.41</v>
      </c>
      <c r="G44" s="19">
        <v>40449</v>
      </c>
      <c r="H44">
        <v>110.25</v>
      </c>
      <c r="I44">
        <v>266</v>
      </c>
      <c r="J44">
        <v>126</v>
      </c>
      <c r="K44">
        <v>87.5</v>
      </c>
    </row>
    <row r="45" spans="1:11" s="65" customFormat="1">
      <c r="A45" s="19">
        <v>40453</v>
      </c>
      <c r="B45" s="65">
        <v>4.91</v>
      </c>
      <c r="C45" s="65">
        <v>10.4</v>
      </c>
      <c r="D45" s="65">
        <v>4.7300000000000004</v>
      </c>
      <c r="E45" s="65">
        <v>4.33</v>
      </c>
      <c r="G45" s="19">
        <v>40453</v>
      </c>
      <c r="H45" s="65">
        <v>253.75</v>
      </c>
      <c r="I45" s="65">
        <v>308</v>
      </c>
      <c r="J45" s="65">
        <v>211.75</v>
      </c>
      <c r="K45" s="65">
        <v>176.75</v>
      </c>
    </row>
    <row r="46" spans="1:11" s="56" customFormat="1">
      <c r="A46" s="19">
        <v>40461</v>
      </c>
      <c r="B46" s="56">
        <v>4.46</v>
      </c>
      <c r="C46" s="56">
        <v>12</v>
      </c>
      <c r="D46" s="56">
        <v>5.98</v>
      </c>
      <c r="E46" s="56">
        <v>4.45</v>
      </c>
      <c r="G46" s="19">
        <v>40461</v>
      </c>
      <c r="H46" s="56">
        <v>140</v>
      </c>
      <c r="I46" s="56">
        <v>185.5</v>
      </c>
      <c r="J46" s="56">
        <v>238</v>
      </c>
      <c r="K46" s="56">
        <v>206.5</v>
      </c>
    </row>
    <row r="47" spans="1:11" s="56" customFormat="1">
      <c r="A47" s="19">
        <v>40467</v>
      </c>
      <c r="B47" s="56">
        <v>4.92</v>
      </c>
      <c r="C47" s="56">
        <v>6.12</v>
      </c>
      <c r="D47" s="56">
        <v>5.82</v>
      </c>
      <c r="E47" s="56">
        <v>5.56</v>
      </c>
      <c r="G47" s="19">
        <v>40467</v>
      </c>
      <c r="H47" s="56">
        <v>103.25</v>
      </c>
      <c r="I47" s="56">
        <v>71.75</v>
      </c>
      <c r="J47" s="56">
        <v>92.75</v>
      </c>
      <c r="K47" s="56">
        <v>138.6</v>
      </c>
    </row>
    <row r="48" spans="1:11" s="65" customFormat="1">
      <c r="A48" s="19">
        <v>40497</v>
      </c>
      <c r="B48" s="65">
        <v>4.43</v>
      </c>
      <c r="C48" s="65">
        <v>6.04</v>
      </c>
      <c r="D48" s="65">
        <v>4.34</v>
      </c>
      <c r="E48" s="65">
        <v>4.72</v>
      </c>
      <c r="G48" s="19">
        <v>40497</v>
      </c>
      <c r="H48" s="65">
        <v>130.9</v>
      </c>
      <c r="I48" s="65">
        <v>112.35</v>
      </c>
      <c r="J48" s="65">
        <v>88.9</v>
      </c>
      <c r="K48" s="65">
        <v>93.1</v>
      </c>
    </row>
    <row r="49" spans="1:11" s="65" customFormat="1">
      <c r="A49" s="19">
        <v>40510</v>
      </c>
      <c r="B49" s="65">
        <v>3.36</v>
      </c>
      <c r="C49" s="65">
        <v>5.48</v>
      </c>
      <c r="D49" s="65">
        <v>4.7</v>
      </c>
      <c r="E49" s="78"/>
      <c r="G49" s="19">
        <v>40510</v>
      </c>
      <c r="H49" s="65">
        <v>52.5</v>
      </c>
      <c r="I49" s="65">
        <v>53.2</v>
      </c>
      <c r="J49" s="65">
        <v>61.95</v>
      </c>
      <c r="K49" s="78"/>
    </row>
    <row r="50" spans="1:11" s="65" customFormat="1">
      <c r="A50" s="19">
        <v>40516</v>
      </c>
      <c r="B50" s="65">
        <v>4.33</v>
      </c>
      <c r="C50" s="65">
        <v>5.94</v>
      </c>
      <c r="D50" s="65">
        <v>4.38</v>
      </c>
      <c r="E50" s="65">
        <v>4.5</v>
      </c>
      <c r="G50" s="19">
        <v>40516</v>
      </c>
      <c r="H50" s="65">
        <v>102.9</v>
      </c>
      <c r="I50" s="65">
        <v>81.900000000000006</v>
      </c>
      <c r="J50" s="65">
        <v>58.8</v>
      </c>
      <c r="K50" s="65">
        <v>71.400000000000006</v>
      </c>
    </row>
    <row r="51" spans="1:11" s="65" customFormat="1">
      <c r="A51" s="19">
        <v>40555</v>
      </c>
      <c r="B51" s="65">
        <v>3.42</v>
      </c>
      <c r="C51" s="65">
        <v>6.25</v>
      </c>
      <c r="D51" s="65">
        <v>3.5</v>
      </c>
      <c r="E51" s="78"/>
      <c r="G51" s="19">
        <v>40555</v>
      </c>
      <c r="H51" s="65">
        <v>28.7</v>
      </c>
      <c r="I51" s="65">
        <v>30.45</v>
      </c>
      <c r="J51" s="65">
        <v>27.3</v>
      </c>
      <c r="K51" s="78"/>
    </row>
    <row r="52" spans="1:11" s="81" customFormat="1">
      <c r="A52" s="19">
        <v>40675</v>
      </c>
      <c r="B52" s="81">
        <v>2.0699999999999998</v>
      </c>
      <c r="C52" s="81">
        <v>2.72</v>
      </c>
      <c r="D52" s="81">
        <v>1.34</v>
      </c>
      <c r="E52" s="78"/>
      <c r="G52" s="19">
        <v>40675</v>
      </c>
      <c r="H52" s="81">
        <v>39.549999999999997</v>
      </c>
      <c r="I52" s="81">
        <v>53.9</v>
      </c>
      <c r="J52" s="81">
        <v>36.049999999999997</v>
      </c>
      <c r="K52" s="78"/>
    </row>
    <row r="54" spans="1:11">
      <c r="A54" t="s">
        <v>23</v>
      </c>
      <c r="B54" t="s">
        <v>34</v>
      </c>
      <c r="C54" t="s">
        <v>35</v>
      </c>
      <c r="D54" t="s">
        <v>36</v>
      </c>
      <c r="E54" t="s">
        <v>37</v>
      </c>
      <c r="G54" t="s">
        <v>23</v>
      </c>
      <c r="H54" t="s">
        <v>34</v>
      </c>
      <c r="I54" t="s">
        <v>35</v>
      </c>
      <c r="J54" t="s">
        <v>36</v>
      </c>
      <c r="K54" t="s">
        <v>37</v>
      </c>
    </row>
    <row r="55" spans="1:11">
      <c r="A55" s="19">
        <v>40336</v>
      </c>
      <c r="B55">
        <v>4.08</v>
      </c>
      <c r="C55">
        <v>5.98</v>
      </c>
      <c r="D55">
        <v>4.75</v>
      </c>
      <c r="E55" s="39"/>
      <c r="G55" s="19">
        <v>40336</v>
      </c>
      <c r="H55">
        <v>303.8</v>
      </c>
      <c r="I55">
        <v>328.65</v>
      </c>
      <c r="J55">
        <v>289.10000000000002</v>
      </c>
      <c r="K55" s="39"/>
    </row>
    <row r="56" spans="1:11">
      <c r="A56" s="19">
        <v>40375</v>
      </c>
      <c r="B56">
        <v>7.64</v>
      </c>
      <c r="C56">
        <v>4.26</v>
      </c>
      <c r="D56">
        <v>3.47</v>
      </c>
      <c r="E56">
        <v>3.11</v>
      </c>
      <c r="G56" s="19">
        <v>40375</v>
      </c>
      <c r="H56">
        <v>1123.5</v>
      </c>
      <c r="I56">
        <v>353.5</v>
      </c>
      <c r="J56">
        <v>228.9</v>
      </c>
      <c r="K56">
        <v>179.9</v>
      </c>
    </row>
    <row r="57" spans="1:11">
      <c r="A57" s="19">
        <v>40389</v>
      </c>
      <c r="B57">
        <v>4.49</v>
      </c>
      <c r="C57">
        <v>4.43</v>
      </c>
      <c r="D57">
        <v>4.08</v>
      </c>
      <c r="E57">
        <v>3.95</v>
      </c>
      <c r="G57" s="19">
        <v>40389</v>
      </c>
      <c r="H57">
        <v>381.5</v>
      </c>
      <c r="I57">
        <v>378</v>
      </c>
      <c r="J57">
        <v>295.39999999999998</v>
      </c>
      <c r="K57">
        <v>266</v>
      </c>
    </row>
    <row r="58" spans="1:11">
      <c r="A58" s="19">
        <v>40396</v>
      </c>
      <c r="B58">
        <v>3.76</v>
      </c>
      <c r="C58">
        <v>4.2699999999999996</v>
      </c>
      <c r="D58">
        <v>3.31</v>
      </c>
      <c r="E58">
        <v>3.06</v>
      </c>
      <c r="G58" s="19">
        <v>40396</v>
      </c>
      <c r="H58">
        <v>347.9</v>
      </c>
      <c r="I58">
        <v>360.5</v>
      </c>
      <c r="J58">
        <v>220.5</v>
      </c>
      <c r="K58">
        <v>217</v>
      </c>
    </row>
    <row r="59" spans="1:11">
      <c r="A59" s="19">
        <v>40408</v>
      </c>
      <c r="B59">
        <v>3.92</v>
      </c>
      <c r="C59">
        <v>3.9</v>
      </c>
      <c r="D59">
        <v>4.1399999999999997</v>
      </c>
      <c r="E59">
        <v>3.74</v>
      </c>
      <c r="G59" s="19">
        <v>40408</v>
      </c>
      <c r="H59">
        <v>223.3</v>
      </c>
      <c r="I59">
        <v>132.30000000000001</v>
      </c>
      <c r="J59">
        <v>276.5</v>
      </c>
      <c r="K59">
        <v>402.5</v>
      </c>
    </row>
    <row r="60" spans="1:11">
      <c r="A60" s="19">
        <v>40417</v>
      </c>
      <c r="B60">
        <v>3.76</v>
      </c>
      <c r="C60">
        <v>4.2699999999999996</v>
      </c>
      <c r="D60">
        <v>3.31</v>
      </c>
      <c r="E60">
        <v>3.06</v>
      </c>
      <c r="G60" s="19">
        <v>40417</v>
      </c>
      <c r="H60">
        <v>347.9</v>
      </c>
      <c r="I60">
        <v>360.5</v>
      </c>
      <c r="J60">
        <v>220.5</v>
      </c>
      <c r="K60">
        <v>217</v>
      </c>
    </row>
    <row r="61" spans="1:11">
      <c r="A61" s="19">
        <v>40423</v>
      </c>
      <c r="B61">
        <v>4.96</v>
      </c>
      <c r="C61">
        <v>3.56</v>
      </c>
      <c r="D61">
        <v>3.85</v>
      </c>
      <c r="E61">
        <v>4.3899999999999997</v>
      </c>
      <c r="G61" s="19">
        <v>40423</v>
      </c>
      <c r="H61">
        <v>343</v>
      </c>
      <c r="I61">
        <v>184.1</v>
      </c>
      <c r="J61">
        <v>114.1</v>
      </c>
      <c r="K61">
        <v>295.75</v>
      </c>
    </row>
    <row r="62" spans="1:11">
      <c r="A62" s="19">
        <v>40430</v>
      </c>
      <c r="B62">
        <v>4.72</v>
      </c>
      <c r="C62">
        <v>4.8499999999999996</v>
      </c>
      <c r="D62">
        <v>3.96</v>
      </c>
      <c r="E62">
        <v>3.9</v>
      </c>
      <c r="G62" s="19">
        <v>40430</v>
      </c>
      <c r="H62">
        <v>321.3</v>
      </c>
      <c r="I62">
        <v>317.10000000000002</v>
      </c>
      <c r="J62">
        <v>297.5</v>
      </c>
      <c r="K62">
        <v>200.9</v>
      </c>
    </row>
    <row r="63" spans="1:11">
      <c r="A63" s="19">
        <v>40437</v>
      </c>
      <c r="B63">
        <v>4.88</v>
      </c>
      <c r="C63">
        <v>4.7699999999999996</v>
      </c>
      <c r="D63">
        <v>4.9400000000000004</v>
      </c>
      <c r="E63">
        <v>3.94</v>
      </c>
      <c r="G63" s="19">
        <v>40437</v>
      </c>
      <c r="H63">
        <v>381.5</v>
      </c>
      <c r="I63">
        <v>333.9</v>
      </c>
      <c r="J63">
        <v>254.45</v>
      </c>
      <c r="K63">
        <v>339.85</v>
      </c>
    </row>
    <row r="64" spans="1:11">
      <c r="A64" s="19">
        <v>40448</v>
      </c>
      <c r="B64">
        <v>4.67</v>
      </c>
      <c r="C64">
        <v>6.45</v>
      </c>
      <c r="D64">
        <v>5.18</v>
      </c>
      <c r="E64">
        <v>3.42</v>
      </c>
      <c r="G64" s="19">
        <v>40448</v>
      </c>
      <c r="H64">
        <v>282.8</v>
      </c>
      <c r="I64">
        <v>89.25</v>
      </c>
      <c r="J64">
        <v>234.5</v>
      </c>
      <c r="K64">
        <v>240.8</v>
      </c>
    </row>
    <row r="65" spans="1:11" s="56" customFormat="1">
      <c r="A65" s="19">
        <v>40453</v>
      </c>
      <c r="B65" s="56">
        <v>7.86</v>
      </c>
      <c r="C65" s="56">
        <v>4.58</v>
      </c>
      <c r="D65" s="56">
        <v>4.08</v>
      </c>
      <c r="E65" s="56">
        <v>3.81</v>
      </c>
      <c r="G65" s="19">
        <v>40453</v>
      </c>
      <c r="H65" s="56">
        <v>420</v>
      </c>
      <c r="I65" s="56">
        <v>222.25</v>
      </c>
      <c r="J65" s="56">
        <v>236.25</v>
      </c>
      <c r="K65" s="56">
        <v>274.39999999999998</v>
      </c>
    </row>
    <row r="66" spans="1:11" s="65" customFormat="1">
      <c r="A66" s="19">
        <v>40461</v>
      </c>
      <c r="B66" s="65">
        <v>5.72</v>
      </c>
      <c r="C66" s="65">
        <v>4.82</v>
      </c>
      <c r="D66" s="65">
        <v>4.74</v>
      </c>
      <c r="E66" s="65">
        <v>3.65</v>
      </c>
      <c r="G66" s="19">
        <v>40461</v>
      </c>
      <c r="H66" s="65">
        <v>497</v>
      </c>
      <c r="I66" s="65">
        <v>218.75</v>
      </c>
      <c r="J66" s="65">
        <v>199.5</v>
      </c>
      <c r="K66" s="65">
        <v>221.9</v>
      </c>
    </row>
    <row r="67" spans="1:11" s="56" customFormat="1">
      <c r="A67" s="19">
        <v>40467</v>
      </c>
      <c r="B67" s="56">
        <v>4.3600000000000003</v>
      </c>
      <c r="C67" s="56">
        <v>6.45</v>
      </c>
      <c r="D67" s="56">
        <v>4.6900000000000004</v>
      </c>
      <c r="E67" s="56">
        <v>3.35</v>
      </c>
      <c r="G67" s="19">
        <v>40467</v>
      </c>
      <c r="H67" s="56">
        <v>222.25</v>
      </c>
      <c r="I67" s="56">
        <v>112</v>
      </c>
      <c r="J67" s="56">
        <v>252</v>
      </c>
      <c r="K67" s="56">
        <v>258.3</v>
      </c>
    </row>
    <row r="68" spans="1:11" s="65" customFormat="1">
      <c r="A68" s="19">
        <v>40497</v>
      </c>
      <c r="B68" s="65">
        <v>5.1100000000000003</v>
      </c>
      <c r="C68" s="65">
        <v>12.5</v>
      </c>
      <c r="D68" s="65">
        <v>4.6500000000000004</v>
      </c>
      <c r="E68" s="65">
        <v>4.55</v>
      </c>
      <c r="G68" s="19">
        <v>40497</v>
      </c>
      <c r="H68" s="65">
        <v>247.8</v>
      </c>
      <c r="I68" s="65">
        <v>115.5</v>
      </c>
      <c r="J68" s="65">
        <v>153.30000000000001</v>
      </c>
      <c r="K68" s="65">
        <v>297.5</v>
      </c>
    </row>
    <row r="69" spans="1:11" s="65" customFormat="1">
      <c r="A69" s="19">
        <v>40510</v>
      </c>
      <c r="B69" s="65">
        <v>5.14</v>
      </c>
      <c r="C69" s="65">
        <v>11.5</v>
      </c>
      <c r="D69" s="65">
        <v>4.8600000000000003</v>
      </c>
      <c r="E69" s="78"/>
      <c r="G69" s="19">
        <v>40510</v>
      </c>
      <c r="H69" s="65">
        <v>263.55</v>
      </c>
      <c r="I69" s="65">
        <v>346.5</v>
      </c>
      <c r="J69" s="65">
        <v>168</v>
      </c>
      <c r="K69" s="78"/>
    </row>
    <row r="70" spans="1:11" s="65" customFormat="1">
      <c r="A70" s="19">
        <v>40516</v>
      </c>
      <c r="B70" s="65">
        <v>5.43</v>
      </c>
      <c r="C70" s="65">
        <v>5.73</v>
      </c>
      <c r="D70" s="65">
        <v>5.16</v>
      </c>
      <c r="E70" s="65">
        <v>4.4000000000000004</v>
      </c>
      <c r="G70" s="19">
        <v>40516</v>
      </c>
      <c r="H70" s="65">
        <v>141.4</v>
      </c>
      <c r="I70" s="65">
        <v>117.25</v>
      </c>
      <c r="J70" s="65">
        <v>110.95</v>
      </c>
      <c r="K70" s="65">
        <v>159.25</v>
      </c>
    </row>
    <row r="71" spans="1:11" s="65" customFormat="1">
      <c r="A71" s="19">
        <v>40555</v>
      </c>
      <c r="B71" s="65">
        <v>4.16</v>
      </c>
      <c r="C71" s="65">
        <v>12</v>
      </c>
      <c r="D71" s="65">
        <v>3.5</v>
      </c>
      <c r="E71" s="78"/>
      <c r="G71" s="19">
        <v>40555</v>
      </c>
      <c r="H71" s="65">
        <v>84.7</v>
      </c>
      <c r="I71" s="65">
        <v>96.6</v>
      </c>
      <c r="J71" s="65">
        <v>41.3</v>
      </c>
      <c r="K71" s="78"/>
    </row>
    <row r="72" spans="1:11" s="65" customFormat="1">
      <c r="A72" s="19">
        <v>40593</v>
      </c>
      <c r="B72" s="65">
        <v>4.4800000000000004</v>
      </c>
      <c r="C72" s="65">
        <v>5.31</v>
      </c>
      <c r="D72" s="65">
        <v>3.92</v>
      </c>
      <c r="E72" s="78"/>
      <c r="G72" s="19">
        <v>40593</v>
      </c>
      <c r="H72" s="65">
        <v>114.1</v>
      </c>
      <c r="I72" s="65">
        <v>118.65</v>
      </c>
      <c r="J72" s="65">
        <v>75.599999999999994</v>
      </c>
      <c r="K72" s="78"/>
    </row>
    <row r="73" spans="1:11" s="81" customFormat="1">
      <c r="A73" s="19">
        <v>40631</v>
      </c>
      <c r="B73" s="81">
        <v>2.0099999999999998</v>
      </c>
      <c r="C73" s="81">
        <v>2.91</v>
      </c>
      <c r="D73" s="81">
        <v>3.36</v>
      </c>
      <c r="E73" s="78"/>
      <c r="G73" s="19">
        <v>40631</v>
      </c>
      <c r="H73" s="81">
        <v>22.05</v>
      </c>
      <c r="I73" s="81">
        <v>20.3</v>
      </c>
      <c r="J73" s="81">
        <v>42.7</v>
      </c>
      <c r="K73" s="78"/>
    </row>
    <row r="74" spans="1:11" s="81" customFormat="1">
      <c r="A74" s="19">
        <v>40675</v>
      </c>
      <c r="B74" s="81">
        <v>5.69</v>
      </c>
      <c r="C74" s="81">
        <v>4.92</v>
      </c>
      <c r="D74" s="81">
        <v>3.53</v>
      </c>
      <c r="E74" s="78"/>
      <c r="G74" s="19">
        <v>40675</v>
      </c>
      <c r="H74" s="81">
        <v>479.5</v>
      </c>
      <c r="I74" s="81">
        <v>141.75</v>
      </c>
      <c r="J74" s="81">
        <v>120.4</v>
      </c>
      <c r="K74" s="78"/>
    </row>
    <row r="76" spans="1:11">
      <c r="A76" t="s">
        <v>23</v>
      </c>
      <c r="B76" t="s">
        <v>38</v>
      </c>
      <c r="C76" t="s">
        <v>39</v>
      </c>
      <c r="D76" t="s">
        <v>40</v>
      </c>
      <c r="E76" t="s">
        <v>41</v>
      </c>
      <c r="G76" t="s">
        <v>23</v>
      </c>
      <c r="H76" t="s">
        <v>38</v>
      </c>
      <c r="I76" t="s">
        <v>39</v>
      </c>
      <c r="J76" t="s">
        <v>40</v>
      </c>
      <c r="K76" t="s">
        <v>41</v>
      </c>
    </row>
    <row r="77" spans="1:11">
      <c r="A77" s="19">
        <v>40336</v>
      </c>
      <c r="B77">
        <v>3.92</v>
      </c>
      <c r="C77">
        <v>4.41</v>
      </c>
      <c r="D77">
        <v>4.57</v>
      </c>
      <c r="E77" s="39"/>
      <c r="G77" s="19">
        <v>40336</v>
      </c>
      <c r="H77">
        <v>303.8</v>
      </c>
      <c r="I77">
        <v>328.65</v>
      </c>
      <c r="J77">
        <v>289.10000000000002</v>
      </c>
      <c r="K77" s="39"/>
    </row>
    <row r="78" spans="1:11">
      <c r="A78" s="19">
        <v>40375</v>
      </c>
      <c r="B78">
        <v>4.1500000000000004</v>
      </c>
      <c r="C78">
        <v>4.13</v>
      </c>
      <c r="D78">
        <v>3.35</v>
      </c>
      <c r="E78">
        <v>2.63</v>
      </c>
      <c r="G78" s="19">
        <v>40375</v>
      </c>
      <c r="H78">
        <v>423.5</v>
      </c>
      <c r="I78">
        <v>451.5</v>
      </c>
      <c r="J78">
        <v>388.5</v>
      </c>
      <c r="K78">
        <v>225.05</v>
      </c>
    </row>
    <row r="79" spans="1:11">
      <c r="A79" s="19">
        <v>40389</v>
      </c>
      <c r="B79">
        <v>3.05</v>
      </c>
      <c r="C79">
        <v>5.28</v>
      </c>
      <c r="D79">
        <v>4.26</v>
      </c>
      <c r="E79">
        <v>4.2</v>
      </c>
      <c r="G79" s="19">
        <v>40389</v>
      </c>
      <c r="H79">
        <v>259.7</v>
      </c>
      <c r="I79">
        <v>616</v>
      </c>
      <c r="J79">
        <v>392</v>
      </c>
      <c r="K79">
        <v>374.5</v>
      </c>
    </row>
    <row r="80" spans="1:11">
      <c r="A80" s="19">
        <v>40396</v>
      </c>
      <c r="B80">
        <v>4.43</v>
      </c>
      <c r="C80">
        <v>4.4000000000000004</v>
      </c>
      <c r="D80">
        <v>4.8099999999999996</v>
      </c>
      <c r="E80">
        <v>4.1500000000000004</v>
      </c>
      <c r="G80" s="19">
        <v>40396</v>
      </c>
      <c r="H80">
        <v>409.5</v>
      </c>
      <c r="I80">
        <v>395.5</v>
      </c>
      <c r="J80">
        <v>416.5</v>
      </c>
      <c r="K80">
        <v>318.5</v>
      </c>
    </row>
    <row r="81" spans="1:11">
      <c r="A81" s="19">
        <v>40408</v>
      </c>
      <c r="B81">
        <v>3.98</v>
      </c>
      <c r="C81">
        <v>4.24</v>
      </c>
      <c r="D81">
        <v>4.1500000000000004</v>
      </c>
      <c r="E81">
        <v>4.16</v>
      </c>
      <c r="G81" s="19">
        <v>40408</v>
      </c>
      <c r="H81">
        <v>308</v>
      </c>
      <c r="I81">
        <v>165.9</v>
      </c>
      <c r="J81">
        <v>183.4</v>
      </c>
      <c r="K81">
        <v>344.4</v>
      </c>
    </row>
    <row r="82" spans="1:11">
      <c r="A82" s="19">
        <v>40417</v>
      </c>
      <c r="B82">
        <v>4.28</v>
      </c>
      <c r="C82">
        <v>6.52</v>
      </c>
      <c r="D82">
        <v>4.0999999999999996</v>
      </c>
      <c r="E82">
        <v>4.28</v>
      </c>
      <c r="G82" s="19">
        <v>40417</v>
      </c>
      <c r="H82">
        <v>299.60000000000002</v>
      </c>
      <c r="I82">
        <v>150.5</v>
      </c>
      <c r="J82">
        <v>307.3</v>
      </c>
      <c r="K82">
        <v>217</v>
      </c>
    </row>
    <row r="83" spans="1:11">
      <c r="A83" s="19">
        <v>40423</v>
      </c>
      <c r="B83">
        <v>4.01</v>
      </c>
      <c r="C83">
        <v>4.2699999999999996</v>
      </c>
      <c r="D83">
        <v>4.38</v>
      </c>
      <c r="E83">
        <v>3.93</v>
      </c>
      <c r="G83" s="19">
        <v>40423</v>
      </c>
      <c r="H83">
        <v>99.75</v>
      </c>
      <c r="I83">
        <v>238</v>
      </c>
      <c r="J83">
        <v>199.15</v>
      </c>
      <c r="K83">
        <v>136.5</v>
      </c>
    </row>
    <row r="84" spans="1:11">
      <c r="A84" s="19">
        <v>40430</v>
      </c>
      <c r="B84">
        <v>5.17</v>
      </c>
      <c r="C84">
        <v>4.8</v>
      </c>
      <c r="D84">
        <v>5.2</v>
      </c>
      <c r="E84">
        <v>4.01</v>
      </c>
      <c r="G84" s="19">
        <v>40430</v>
      </c>
      <c r="H84">
        <v>570.5</v>
      </c>
      <c r="I84">
        <v>332.5</v>
      </c>
      <c r="J84">
        <v>208.6</v>
      </c>
      <c r="K84">
        <v>338.5</v>
      </c>
    </row>
    <row r="85" spans="1:11">
      <c r="A85" s="19">
        <v>40437</v>
      </c>
      <c r="B85">
        <v>4.95</v>
      </c>
      <c r="C85">
        <v>5.73</v>
      </c>
      <c r="D85">
        <v>4.9400000000000004</v>
      </c>
      <c r="E85">
        <v>4.05</v>
      </c>
      <c r="G85" s="19">
        <v>40437</v>
      </c>
      <c r="H85">
        <v>208.95</v>
      </c>
      <c r="I85">
        <v>290.14999999999998</v>
      </c>
      <c r="J85">
        <v>295.39999999999998</v>
      </c>
      <c r="K85">
        <v>146.30000000000001</v>
      </c>
    </row>
    <row r="86" spans="1:11">
      <c r="A86" s="19">
        <v>40448</v>
      </c>
      <c r="B86">
        <v>4.99</v>
      </c>
      <c r="C86">
        <v>11.2</v>
      </c>
      <c r="D86">
        <v>4.58</v>
      </c>
      <c r="E86">
        <v>5.1100000000000003</v>
      </c>
      <c r="G86" s="19">
        <v>40448</v>
      </c>
      <c r="H86">
        <v>348.25</v>
      </c>
      <c r="I86">
        <v>297.14999999999998</v>
      </c>
      <c r="J86">
        <v>242.2</v>
      </c>
      <c r="K86">
        <v>430.5</v>
      </c>
    </row>
    <row r="87" spans="1:11" s="65" customFormat="1">
      <c r="A87" s="19">
        <v>40453</v>
      </c>
      <c r="B87" s="65">
        <v>5.51</v>
      </c>
      <c r="C87" s="65">
        <v>6.85</v>
      </c>
      <c r="D87" s="65">
        <v>4.29</v>
      </c>
      <c r="E87" s="65">
        <v>3.58</v>
      </c>
      <c r="G87" s="19">
        <v>40453</v>
      </c>
      <c r="H87" s="65">
        <v>371</v>
      </c>
      <c r="I87" s="65">
        <v>264.25</v>
      </c>
      <c r="J87" s="65">
        <v>250.25</v>
      </c>
      <c r="K87" s="65">
        <v>191.8</v>
      </c>
    </row>
    <row r="88" spans="1:11" s="56" customFormat="1">
      <c r="A88" s="19">
        <v>40461</v>
      </c>
      <c r="B88" s="56">
        <v>5.0199999999999996</v>
      </c>
      <c r="C88" s="56">
        <v>9.67</v>
      </c>
      <c r="D88" s="56">
        <v>4.53</v>
      </c>
      <c r="E88" s="56">
        <v>4.57</v>
      </c>
      <c r="G88" s="19">
        <v>40461</v>
      </c>
      <c r="H88" s="56">
        <v>385</v>
      </c>
      <c r="I88" s="56">
        <v>220.5</v>
      </c>
      <c r="J88" s="56">
        <v>162.75</v>
      </c>
      <c r="K88" s="56">
        <v>346.5</v>
      </c>
    </row>
    <row r="89" spans="1:11" s="56" customFormat="1">
      <c r="A89" s="19">
        <v>40467</v>
      </c>
      <c r="B89" s="56">
        <v>6.37</v>
      </c>
      <c r="C89" s="56">
        <v>8.6300000000000008</v>
      </c>
      <c r="D89" s="56">
        <v>4.53</v>
      </c>
      <c r="E89" s="56">
        <v>4.1399999999999997</v>
      </c>
      <c r="G89" s="19">
        <v>40467</v>
      </c>
      <c r="H89" s="56">
        <v>215.25</v>
      </c>
      <c r="I89" s="56">
        <v>131.25</v>
      </c>
      <c r="J89" s="56">
        <v>257.25</v>
      </c>
      <c r="K89" s="56">
        <v>218.75</v>
      </c>
    </row>
    <row r="90" spans="1:11" s="65" customFormat="1">
      <c r="A90" s="19">
        <v>40497</v>
      </c>
      <c r="B90" s="65">
        <v>4.41</v>
      </c>
      <c r="C90" s="65">
        <v>5.2</v>
      </c>
      <c r="D90" s="65">
        <v>3.98</v>
      </c>
      <c r="E90" s="65">
        <v>3.75</v>
      </c>
      <c r="G90" s="19">
        <v>40497</v>
      </c>
      <c r="H90" s="65">
        <v>353.5</v>
      </c>
      <c r="I90" s="65">
        <v>89.6</v>
      </c>
      <c r="J90" s="65">
        <v>123.2</v>
      </c>
      <c r="K90" s="65">
        <v>147.35</v>
      </c>
    </row>
    <row r="91" spans="1:11" s="65" customFormat="1">
      <c r="A91" s="19">
        <v>40510</v>
      </c>
      <c r="B91" s="65">
        <v>4.6100000000000003</v>
      </c>
      <c r="C91" s="65">
        <v>6.6</v>
      </c>
      <c r="D91" s="65">
        <v>4.9000000000000004</v>
      </c>
      <c r="E91" s="39"/>
      <c r="G91" s="19">
        <v>40510</v>
      </c>
      <c r="H91" s="65">
        <v>143.85</v>
      </c>
      <c r="I91" s="65">
        <v>182.7</v>
      </c>
      <c r="J91" s="65">
        <v>155.75</v>
      </c>
      <c r="K91" s="39"/>
    </row>
    <row r="92" spans="1:11" s="65" customFormat="1">
      <c r="A92" s="19">
        <v>40516</v>
      </c>
      <c r="B92" s="65">
        <v>4.72</v>
      </c>
      <c r="C92" s="65">
        <v>4.6900000000000004</v>
      </c>
      <c r="D92" s="65">
        <v>4.5</v>
      </c>
      <c r="E92" s="65">
        <v>5.38</v>
      </c>
      <c r="G92" s="19">
        <v>40516</v>
      </c>
      <c r="H92" s="65">
        <v>206.85</v>
      </c>
      <c r="I92" s="65">
        <v>164.85</v>
      </c>
      <c r="J92" s="65">
        <v>9.8000000000000007</v>
      </c>
      <c r="K92" s="65">
        <v>178.15</v>
      </c>
    </row>
    <row r="93" spans="1:11" s="65" customFormat="1">
      <c r="A93" s="19">
        <v>40555</v>
      </c>
      <c r="B93" s="65">
        <v>5.53</v>
      </c>
      <c r="C93" s="65">
        <v>8.06</v>
      </c>
      <c r="D93" s="65">
        <v>3.75</v>
      </c>
      <c r="E93" s="39"/>
      <c r="G93" s="19">
        <v>40555</v>
      </c>
      <c r="H93" s="65">
        <v>11.55</v>
      </c>
      <c r="I93" s="65">
        <v>270.89999999999998</v>
      </c>
      <c r="J93" s="65">
        <v>116.9</v>
      </c>
      <c r="K93" s="39"/>
    </row>
    <row r="94" spans="1:11" s="65" customFormat="1">
      <c r="A94" s="19">
        <v>40593</v>
      </c>
      <c r="B94" s="65">
        <v>4.46</v>
      </c>
      <c r="C94" s="65">
        <v>5.0999999999999996</v>
      </c>
      <c r="D94" s="65">
        <v>3.71</v>
      </c>
      <c r="E94" s="39"/>
      <c r="G94" s="19">
        <v>40593</v>
      </c>
      <c r="H94" s="65">
        <v>167.3</v>
      </c>
      <c r="I94" s="65">
        <v>109.55</v>
      </c>
      <c r="J94" s="65">
        <v>128.80000000000001</v>
      </c>
      <c r="K94" s="39"/>
    </row>
    <row r="95" spans="1:11" s="81" customFormat="1">
      <c r="A95" s="19">
        <v>40631</v>
      </c>
      <c r="B95" s="81">
        <v>3.69</v>
      </c>
      <c r="C95" s="81">
        <v>3.64</v>
      </c>
      <c r="D95" s="81">
        <v>3.78</v>
      </c>
      <c r="E95" s="39"/>
      <c r="G95" s="19">
        <v>40631</v>
      </c>
      <c r="H95" s="81">
        <v>57.75</v>
      </c>
      <c r="I95" s="81">
        <v>44.1</v>
      </c>
      <c r="J95" s="81">
        <v>42.7</v>
      </c>
      <c r="K95" s="39"/>
    </row>
    <row r="96" spans="1:11" s="81" customFormat="1">
      <c r="A96" s="19">
        <v>40675</v>
      </c>
      <c r="B96" s="81">
        <v>4.2</v>
      </c>
      <c r="C96" s="81">
        <v>4.04</v>
      </c>
      <c r="D96" s="81">
        <v>3.72</v>
      </c>
      <c r="E96" s="39"/>
      <c r="G96" s="19">
        <v>40675</v>
      </c>
      <c r="H96" s="81">
        <v>163.1</v>
      </c>
      <c r="I96" s="81">
        <v>118.3</v>
      </c>
      <c r="J96" s="81">
        <v>111.65</v>
      </c>
      <c r="K96" s="39"/>
    </row>
    <row r="98" spans="1:11">
      <c r="A98" t="s">
        <v>23</v>
      </c>
      <c r="B98" t="s">
        <v>42</v>
      </c>
      <c r="C98" t="s">
        <v>43</v>
      </c>
      <c r="D98" t="s">
        <v>44</v>
      </c>
      <c r="E98" t="s">
        <v>45</v>
      </c>
      <c r="G98" t="s">
        <v>23</v>
      </c>
      <c r="H98" t="s">
        <v>42</v>
      </c>
      <c r="I98" t="s">
        <v>43</v>
      </c>
      <c r="J98" t="s">
        <v>44</v>
      </c>
      <c r="K98" t="s">
        <v>45</v>
      </c>
    </row>
    <row r="99" spans="1:11">
      <c r="A99" s="19">
        <v>40375</v>
      </c>
      <c r="B99">
        <v>3.71</v>
      </c>
      <c r="C99">
        <v>3.63</v>
      </c>
      <c r="D99">
        <v>2.09</v>
      </c>
      <c r="E99">
        <v>2.62</v>
      </c>
      <c r="G99" s="19">
        <v>40375</v>
      </c>
      <c r="H99">
        <v>163.1</v>
      </c>
      <c r="I99">
        <v>136.5</v>
      </c>
      <c r="J99">
        <v>167.3</v>
      </c>
      <c r="K99">
        <v>88.2</v>
      </c>
    </row>
    <row r="100" spans="1:11">
      <c r="A100" s="19">
        <v>40389</v>
      </c>
      <c r="B100">
        <v>4.2699999999999996</v>
      </c>
      <c r="C100">
        <v>3.61</v>
      </c>
      <c r="D100">
        <v>2.5</v>
      </c>
      <c r="E100">
        <v>2.38</v>
      </c>
      <c r="G100" s="19">
        <v>40379</v>
      </c>
      <c r="H100">
        <v>360.5</v>
      </c>
      <c r="I100">
        <v>174.3</v>
      </c>
      <c r="J100">
        <v>84.35</v>
      </c>
      <c r="K100">
        <v>74.55</v>
      </c>
    </row>
    <row r="101" spans="1:11">
      <c r="A101" s="19">
        <v>40396</v>
      </c>
      <c r="B101">
        <v>3.18</v>
      </c>
      <c r="C101">
        <v>3.36</v>
      </c>
      <c r="D101">
        <v>3.28</v>
      </c>
      <c r="E101">
        <v>2.27</v>
      </c>
      <c r="G101" s="19">
        <v>40396</v>
      </c>
      <c r="H101">
        <v>50.4</v>
      </c>
      <c r="I101">
        <v>115.5</v>
      </c>
      <c r="J101">
        <v>98</v>
      </c>
      <c r="K101">
        <v>48.3</v>
      </c>
    </row>
    <row r="102" spans="1:11">
      <c r="A102" s="19">
        <v>40408</v>
      </c>
      <c r="B102">
        <v>4.71</v>
      </c>
      <c r="C102">
        <v>5.18</v>
      </c>
      <c r="D102">
        <v>4.67</v>
      </c>
      <c r="E102">
        <v>3.76</v>
      </c>
      <c r="G102" s="19">
        <v>40408</v>
      </c>
      <c r="H102">
        <v>263.2</v>
      </c>
      <c r="I102">
        <v>381.5</v>
      </c>
      <c r="J102">
        <v>278.60000000000002</v>
      </c>
      <c r="K102">
        <v>129.5</v>
      </c>
    </row>
    <row r="103" spans="1:11">
      <c r="A103" s="19">
        <v>40417</v>
      </c>
      <c r="B103">
        <v>4.82</v>
      </c>
      <c r="C103">
        <v>3.96</v>
      </c>
      <c r="D103">
        <v>3.83</v>
      </c>
      <c r="E103">
        <v>3.73</v>
      </c>
      <c r="G103" s="19">
        <v>40417</v>
      </c>
      <c r="H103">
        <v>306.60000000000002</v>
      </c>
      <c r="I103">
        <v>136.5</v>
      </c>
      <c r="J103">
        <v>126</v>
      </c>
      <c r="K103">
        <v>116.9</v>
      </c>
    </row>
    <row r="104" spans="1:11">
      <c r="A104" s="19">
        <v>40423</v>
      </c>
      <c r="B104">
        <v>3.79</v>
      </c>
      <c r="C104">
        <v>3.32</v>
      </c>
      <c r="D104">
        <v>3.97</v>
      </c>
      <c r="E104">
        <v>3.44</v>
      </c>
      <c r="G104" s="19">
        <v>40423</v>
      </c>
      <c r="H104">
        <v>156.1</v>
      </c>
      <c r="I104">
        <v>214.9</v>
      </c>
      <c r="J104">
        <v>168</v>
      </c>
      <c r="K104">
        <v>100.1</v>
      </c>
    </row>
    <row r="105" spans="1:11">
      <c r="A105" s="19">
        <v>40430</v>
      </c>
      <c r="B105">
        <v>5.61</v>
      </c>
      <c r="C105">
        <v>4.83</v>
      </c>
      <c r="D105">
        <v>5.53</v>
      </c>
      <c r="E105">
        <v>4.3</v>
      </c>
      <c r="G105" s="19">
        <v>40430</v>
      </c>
      <c r="H105">
        <v>521.5</v>
      </c>
      <c r="I105">
        <v>321.3</v>
      </c>
      <c r="J105">
        <v>275.10000000000002</v>
      </c>
      <c r="K105">
        <v>212.1</v>
      </c>
    </row>
    <row r="106" spans="1:11">
      <c r="A106" s="19">
        <v>40437</v>
      </c>
      <c r="B106">
        <v>4.8499999999999996</v>
      </c>
      <c r="C106">
        <v>9.34</v>
      </c>
      <c r="D106">
        <v>4.34</v>
      </c>
      <c r="E106">
        <v>4.5599999999999996</v>
      </c>
      <c r="G106" s="19">
        <v>40437</v>
      </c>
      <c r="H106">
        <v>313.25</v>
      </c>
      <c r="I106">
        <v>388.5</v>
      </c>
      <c r="J106">
        <v>160.30000000000001</v>
      </c>
      <c r="K106">
        <v>242.55</v>
      </c>
    </row>
    <row r="107" spans="1:11">
      <c r="A107" s="19">
        <v>40448</v>
      </c>
      <c r="B107">
        <v>5.84</v>
      </c>
      <c r="C107">
        <v>6.72</v>
      </c>
      <c r="D107">
        <v>4.4800000000000004</v>
      </c>
      <c r="E107">
        <v>3.54</v>
      </c>
      <c r="G107" s="19">
        <v>40448</v>
      </c>
      <c r="H107">
        <v>448</v>
      </c>
      <c r="I107">
        <v>378</v>
      </c>
      <c r="J107">
        <v>217</v>
      </c>
      <c r="K107">
        <v>87.5</v>
      </c>
    </row>
    <row r="108" spans="1:11" s="66" customFormat="1">
      <c r="A108" s="19">
        <v>40497</v>
      </c>
      <c r="B108" s="66">
        <v>5.8</v>
      </c>
      <c r="C108" s="66">
        <v>9.66</v>
      </c>
      <c r="D108" s="66">
        <v>5.04</v>
      </c>
      <c r="E108" s="66">
        <v>6.13</v>
      </c>
      <c r="G108" s="19">
        <v>40497</v>
      </c>
      <c r="H108" s="66">
        <v>210</v>
      </c>
      <c r="I108" s="66">
        <v>121.1</v>
      </c>
      <c r="J108" s="66">
        <v>78.75</v>
      </c>
      <c r="K108" s="66">
        <v>186.9</v>
      </c>
    </row>
    <row r="109" spans="1:11" s="66" customFormat="1">
      <c r="A109" s="19">
        <v>40510</v>
      </c>
      <c r="B109" s="66">
        <v>5.21</v>
      </c>
      <c r="C109" s="66">
        <v>10.3</v>
      </c>
      <c r="D109" s="66">
        <v>7.58</v>
      </c>
      <c r="E109" s="78"/>
      <c r="G109" s="19">
        <v>40510</v>
      </c>
      <c r="H109" s="66">
        <v>194.25</v>
      </c>
      <c r="I109" s="66">
        <v>84</v>
      </c>
      <c r="J109" s="66">
        <v>66.150000000000006</v>
      </c>
      <c r="K109" s="78"/>
    </row>
    <row r="110" spans="1:11" s="66" customFormat="1">
      <c r="A110" s="19">
        <v>40516</v>
      </c>
      <c r="B110" s="66">
        <v>4.78</v>
      </c>
      <c r="C110" s="66">
        <v>8.3000000000000007</v>
      </c>
      <c r="D110" s="66">
        <v>4.2300000000000004</v>
      </c>
      <c r="E110" s="66">
        <v>4.3099999999999996</v>
      </c>
      <c r="G110" s="19">
        <v>40516</v>
      </c>
      <c r="H110" s="66">
        <v>92.05</v>
      </c>
      <c r="I110" s="66">
        <v>98.7</v>
      </c>
      <c r="J110" s="66">
        <v>74.2</v>
      </c>
      <c r="K110" s="66">
        <v>56</v>
      </c>
    </row>
    <row r="111" spans="1:11" s="66" customFormat="1">
      <c r="A111" s="19">
        <v>40555</v>
      </c>
      <c r="B111" s="66">
        <v>4.6100000000000003</v>
      </c>
      <c r="C111" s="66">
        <v>15</v>
      </c>
      <c r="D111" s="66">
        <v>3.5</v>
      </c>
      <c r="E111" s="78"/>
      <c r="G111" s="19">
        <v>40555</v>
      </c>
      <c r="H111" s="66">
        <v>67.900000000000006</v>
      </c>
      <c r="I111" s="66">
        <v>50.4</v>
      </c>
      <c r="J111" s="66">
        <v>9.8000000000000007</v>
      </c>
      <c r="K111" s="78"/>
    </row>
    <row r="112" spans="1:11" s="81" customFormat="1">
      <c r="A112" s="19">
        <v>40677</v>
      </c>
      <c r="B112" s="81">
        <v>1.79</v>
      </c>
      <c r="C112" s="81">
        <v>6.4</v>
      </c>
      <c r="D112" s="81">
        <v>1.67</v>
      </c>
      <c r="E112" s="78"/>
      <c r="G112" s="19">
        <v>40677</v>
      </c>
      <c r="H112" s="81">
        <v>29.75</v>
      </c>
      <c r="I112" s="81">
        <v>28</v>
      </c>
      <c r="J112" s="81">
        <v>29.75</v>
      </c>
      <c r="K112" s="78"/>
    </row>
    <row r="114" spans="1:11">
      <c r="A114" t="s">
        <v>23</v>
      </c>
      <c r="B114" t="s">
        <v>46</v>
      </c>
      <c r="C114" t="s">
        <v>47</v>
      </c>
      <c r="D114" t="s">
        <v>48</v>
      </c>
      <c r="E114" t="s">
        <v>49</v>
      </c>
      <c r="G114" t="s">
        <v>23</v>
      </c>
      <c r="H114" t="s">
        <v>46</v>
      </c>
      <c r="I114" t="s">
        <v>47</v>
      </c>
      <c r="J114" t="s">
        <v>48</v>
      </c>
      <c r="K114" t="s">
        <v>49</v>
      </c>
    </row>
    <row r="115" spans="1:11">
      <c r="A115" s="19">
        <v>40375</v>
      </c>
      <c r="B115">
        <v>3.6</v>
      </c>
      <c r="C115">
        <v>3.62</v>
      </c>
      <c r="D115">
        <v>3.44</v>
      </c>
      <c r="E115">
        <v>3.58</v>
      </c>
      <c r="G115" s="19">
        <v>40375</v>
      </c>
      <c r="H115">
        <v>136.5</v>
      </c>
      <c r="I115">
        <v>126</v>
      </c>
      <c r="J115">
        <v>84</v>
      </c>
      <c r="K115">
        <v>102.2</v>
      </c>
    </row>
    <row r="116" spans="1:11">
      <c r="A116" s="19">
        <v>40389</v>
      </c>
      <c r="B116">
        <v>3.51</v>
      </c>
      <c r="C116">
        <v>3.58</v>
      </c>
      <c r="D116">
        <v>3.98</v>
      </c>
      <c r="E116">
        <v>3.23</v>
      </c>
      <c r="G116" s="19">
        <v>40379</v>
      </c>
      <c r="H116">
        <v>178.5</v>
      </c>
      <c r="I116">
        <v>162.4</v>
      </c>
      <c r="J116">
        <v>205.8</v>
      </c>
      <c r="K116">
        <v>175.7</v>
      </c>
    </row>
    <row r="117" spans="1:11">
      <c r="A117" s="19">
        <v>40396</v>
      </c>
      <c r="B117">
        <v>3.4</v>
      </c>
      <c r="C117">
        <v>3.88</v>
      </c>
      <c r="D117">
        <v>4.05</v>
      </c>
      <c r="E117">
        <v>3.57</v>
      </c>
      <c r="G117" s="19">
        <v>40396</v>
      </c>
      <c r="H117">
        <v>50.4</v>
      </c>
      <c r="I117">
        <v>52.5</v>
      </c>
      <c r="J117">
        <v>206.5</v>
      </c>
      <c r="K117">
        <v>192.5</v>
      </c>
    </row>
    <row r="118" spans="1:11">
      <c r="A118" s="19">
        <v>40408</v>
      </c>
      <c r="B118">
        <v>3.62</v>
      </c>
      <c r="C118">
        <v>4.3499999999999996</v>
      </c>
      <c r="D118">
        <v>3.67</v>
      </c>
      <c r="E118">
        <v>3.8</v>
      </c>
      <c r="G118" s="19">
        <v>40408</v>
      </c>
      <c r="H118">
        <v>109.9</v>
      </c>
      <c r="I118">
        <v>199.5</v>
      </c>
      <c r="J118">
        <v>105</v>
      </c>
      <c r="K118">
        <v>183.4</v>
      </c>
    </row>
    <row r="119" spans="1:11">
      <c r="A119" s="19">
        <v>40417</v>
      </c>
      <c r="B119">
        <v>3.94</v>
      </c>
      <c r="C119">
        <v>3.42</v>
      </c>
      <c r="D119">
        <v>3.24</v>
      </c>
      <c r="E119">
        <v>3.46</v>
      </c>
      <c r="G119" s="19">
        <v>40417</v>
      </c>
      <c r="H119">
        <v>149.80000000000001</v>
      </c>
      <c r="I119">
        <v>84</v>
      </c>
      <c r="J119">
        <v>77</v>
      </c>
      <c r="K119">
        <v>77</v>
      </c>
    </row>
    <row r="120" spans="1:11">
      <c r="A120" s="19">
        <v>40423</v>
      </c>
      <c r="B120">
        <v>4.1900000000000004</v>
      </c>
      <c r="C120">
        <v>4.1500000000000004</v>
      </c>
      <c r="D120">
        <v>3.33</v>
      </c>
      <c r="E120">
        <v>3.65</v>
      </c>
      <c r="G120" s="19">
        <v>40423</v>
      </c>
      <c r="H120">
        <v>204.75</v>
      </c>
      <c r="I120">
        <v>110.25</v>
      </c>
      <c r="J120">
        <v>35</v>
      </c>
      <c r="K120">
        <v>109.2</v>
      </c>
    </row>
    <row r="121" spans="1:11">
      <c r="A121" s="19">
        <v>40430</v>
      </c>
      <c r="B121">
        <v>5.21</v>
      </c>
      <c r="C121">
        <v>4.0999999999999996</v>
      </c>
      <c r="D121">
        <v>4.17</v>
      </c>
      <c r="E121">
        <v>3.68</v>
      </c>
      <c r="G121" s="19">
        <v>40430</v>
      </c>
      <c r="H121">
        <v>546</v>
      </c>
      <c r="I121">
        <v>331.1</v>
      </c>
      <c r="J121">
        <v>151.19999999999999</v>
      </c>
      <c r="K121">
        <v>101.5</v>
      </c>
    </row>
    <row r="122" spans="1:11">
      <c r="A122" s="19">
        <v>40437</v>
      </c>
      <c r="B122">
        <v>4.54</v>
      </c>
      <c r="C122">
        <v>4.0199999999999996</v>
      </c>
      <c r="D122">
        <v>3.69</v>
      </c>
      <c r="E122">
        <v>3.59</v>
      </c>
      <c r="G122" s="19">
        <v>40437</v>
      </c>
      <c r="H122">
        <v>129.85</v>
      </c>
      <c r="I122">
        <v>197.05</v>
      </c>
      <c r="J122">
        <v>177.1</v>
      </c>
      <c r="K122">
        <v>118.3</v>
      </c>
    </row>
    <row r="123" spans="1:11">
      <c r="A123" s="19">
        <v>40448</v>
      </c>
      <c r="B123">
        <v>5.22</v>
      </c>
      <c r="C123">
        <v>5.28</v>
      </c>
      <c r="D123">
        <v>4.62</v>
      </c>
      <c r="E123">
        <v>3.9</v>
      </c>
      <c r="G123" s="19">
        <v>40448</v>
      </c>
      <c r="H123">
        <v>364</v>
      </c>
      <c r="I123">
        <v>232.75</v>
      </c>
      <c r="J123">
        <v>150.5</v>
      </c>
      <c r="K123">
        <v>152.6</v>
      </c>
    </row>
    <row r="124" spans="1:11" s="66" customFormat="1">
      <c r="A124" s="19">
        <v>40497</v>
      </c>
      <c r="B124" s="78"/>
      <c r="C124" s="78"/>
      <c r="D124" s="78"/>
      <c r="E124" s="78"/>
      <c r="G124" s="19">
        <v>40497</v>
      </c>
      <c r="H124" s="78"/>
      <c r="I124" s="78"/>
      <c r="J124" s="78"/>
      <c r="K124" s="78"/>
    </row>
    <row r="125" spans="1:11" s="66" customFormat="1">
      <c r="A125" s="19">
        <v>40510</v>
      </c>
      <c r="B125" s="78"/>
      <c r="C125" s="78"/>
      <c r="D125" s="78"/>
      <c r="E125" s="78"/>
      <c r="G125" s="19">
        <v>40510</v>
      </c>
      <c r="H125" s="78"/>
      <c r="I125" s="78"/>
      <c r="J125" s="78"/>
      <c r="K125" s="78"/>
    </row>
    <row r="126" spans="1:11" s="66" customFormat="1">
      <c r="A126" s="19">
        <v>40516</v>
      </c>
      <c r="B126" s="78"/>
      <c r="C126" s="78"/>
      <c r="D126" s="78"/>
      <c r="E126" s="78"/>
      <c r="G126" s="19">
        <v>40516</v>
      </c>
      <c r="H126" s="78"/>
      <c r="I126" s="78"/>
      <c r="J126" s="78"/>
      <c r="K126" s="78"/>
    </row>
    <row r="127" spans="1:11" s="66" customFormat="1">
      <c r="A127" s="19">
        <v>40555</v>
      </c>
      <c r="B127" s="78"/>
      <c r="C127" s="78"/>
      <c r="D127" s="78"/>
      <c r="E127" s="78"/>
      <c r="G127" s="19">
        <v>40555</v>
      </c>
      <c r="H127" s="78"/>
      <c r="I127" s="78"/>
      <c r="J127" s="78"/>
      <c r="K127" s="78"/>
    </row>
    <row r="129" spans="1:11">
      <c r="A129" t="s">
        <v>23</v>
      </c>
      <c r="B129" t="s">
        <v>50</v>
      </c>
      <c r="C129" t="s">
        <v>51</v>
      </c>
      <c r="D129" t="s">
        <v>52</v>
      </c>
      <c r="E129" t="s">
        <v>53</v>
      </c>
      <c r="G129" t="s">
        <v>23</v>
      </c>
      <c r="H129" t="s">
        <v>50</v>
      </c>
      <c r="I129" t="s">
        <v>51</v>
      </c>
      <c r="J129" t="s">
        <v>52</v>
      </c>
      <c r="K129" t="s">
        <v>53</v>
      </c>
    </row>
    <row r="130" spans="1:11">
      <c r="A130" s="19">
        <v>40375</v>
      </c>
      <c r="B130">
        <v>3.79</v>
      </c>
      <c r="C130">
        <v>4.05</v>
      </c>
      <c r="D130">
        <v>3.7</v>
      </c>
      <c r="E130">
        <v>3.63</v>
      </c>
      <c r="G130" s="19">
        <v>40375</v>
      </c>
      <c r="H130">
        <v>187.6</v>
      </c>
      <c r="I130">
        <v>207.9</v>
      </c>
      <c r="J130">
        <v>156.1</v>
      </c>
      <c r="K130">
        <v>95.9</v>
      </c>
    </row>
    <row r="131" spans="1:11">
      <c r="A131" s="19">
        <v>40389</v>
      </c>
      <c r="B131">
        <v>4.4400000000000004</v>
      </c>
      <c r="C131">
        <v>3.78</v>
      </c>
      <c r="D131">
        <v>3.24</v>
      </c>
      <c r="E131">
        <v>2.5099999999999998</v>
      </c>
      <c r="G131" s="19">
        <v>40379</v>
      </c>
      <c r="H131">
        <v>360.5</v>
      </c>
      <c r="I131">
        <v>228.9</v>
      </c>
      <c r="J131">
        <v>201.6</v>
      </c>
      <c r="K131">
        <v>105</v>
      </c>
    </row>
    <row r="132" spans="1:11">
      <c r="A132" s="19">
        <v>40396</v>
      </c>
      <c r="B132">
        <v>3.23</v>
      </c>
      <c r="C132">
        <v>3.81</v>
      </c>
      <c r="D132">
        <v>4.12</v>
      </c>
      <c r="E132">
        <v>4.01</v>
      </c>
      <c r="G132" s="19">
        <v>40396</v>
      </c>
      <c r="H132">
        <v>56.7</v>
      </c>
      <c r="I132">
        <v>91.7</v>
      </c>
      <c r="J132">
        <v>212.8</v>
      </c>
      <c r="K132">
        <v>200.9</v>
      </c>
    </row>
    <row r="133" spans="1:11">
      <c r="A133" s="19">
        <v>40408</v>
      </c>
      <c r="B133">
        <v>3.94</v>
      </c>
      <c r="C133">
        <v>4.03</v>
      </c>
      <c r="D133">
        <v>4.53</v>
      </c>
      <c r="E133">
        <v>3.83</v>
      </c>
      <c r="G133" s="19">
        <v>40408</v>
      </c>
      <c r="H133">
        <v>178.5</v>
      </c>
      <c r="I133">
        <v>193.2</v>
      </c>
      <c r="J133">
        <v>108.5</v>
      </c>
      <c r="K133">
        <v>130.9</v>
      </c>
    </row>
    <row r="134" spans="1:11">
      <c r="A134" s="19">
        <v>40417</v>
      </c>
      <c r="B134">
        <v>4.92</v>
      </c>
      <c r="C134">
        <v>3.25</v>
      </c>
      <c r="D134">
        <v>3.62</v>
      </c>
      <c r="E134">
        <v>3.3</v>
      </c>
      <c r="G134" s="19">
        <v>40417</v>
      </c>
      <c r="H134">
        <v>350</v>
      </c>
      <c r="I134">
        <v>92.4</v>
      </c>
      <c r="J134">
        <v>110.6</v>
      </c>
      <c r="K134">
        <v>109.9</v>
      </c>
    </row>
    <row r="135" spans="1:11">
      <c r="A135" s="19">
        <v>40423</v>
      </c>
      <c r="B135">
        <v>4.92</v>
      </c>
      <c r="C135">
        <v>7.46</v>
      </c>
      <c r="D135">
        <v>3.72</v>
      </c>
      <c r="E135">
        <v>3.91</v>
      </c>
      <c r="G135" s="19">
        <v>40423</v>
      </c>
      <c r="H135">
        <v>225.75</v>
      </c>
      <c r="I135">
        <v>119</v>
      </c>
      <c r="J135">
        <v>77</v>
      </c>
      <c r="K135">
        <v>95.2</v>
      </c>
    </row>
    <row r="136" spans="1:11">
      <c r="A136" s="19">
        <v>40430</v>
      </c>
      <c r="B136">
        <v>3.67</v>
      </c>
      <c r="C136">
        <v>2.11</v>
      </c>
      <c r="D136">
        <v>3.35</v>
      </c>
      <c r="E136">
        <v>3.49</v>
      </c>
      <c r="G136" s="19">
        <v>40430</v>
      </c>
      <c r="H136">
        <v>179.9</v>
      </c>
      <c r="I136">
        <v>191.8</v>
      </c>
      <c r="J136">
        <v>186.9</v>
      </c>
      <c r="K136">
        <v>116.9</v>
      </c>
    </row>
    <row r="137" spans="1:11">
      <c r="A137" s="19">
        <v>40437</v>
      </c>
      <c r="B137">
        <v>4.01</v>
      </c>
      <c r="C137">
        <v>4.16</v>
      </c>
      <c r="D137">
        <v>4.08</v>
      </c>
      <c r="E137">
        <v>3.49</v>
      </c>
      <c r="G137" s="19">
        <v>40437</v>
      </c>
      <c r="H137">
        <v>153.30000000000001</v>
      </c>
      <c r="I137">
        <v>183.75</v>
      </c>
      <c r="J137">
        <v>155.4</v>
      </c>
      <c r="K137">
        <v>74.55</v>
      </c>
    </row>
    <row r="138" spans="1:11">
      <c r="A138" s="19">
        <v>40448</v>
      </c>
      <c r="B138">
        <v>4.33</v>
      </c>
      <c r="C138">
        <v>4.3499999999999996</v>
      </c>
      <c r="D138">
        <v>3.74</v>
      </c>
      <c r="E138">
        <v>3.01</v>
      </c>
      <c r="G138" s="19">
        <v>40448</v>
      </c>
      <c r="H138">
        <v>222.25</v>
      </c>
      <c r="I138">
        <v>245</v>
      </c>
      <c r="J138">
        <v>167.3</v>
      </c>
      <c r="K138">
        <v>127.4</v>
      </c>
    </row>
    <row r="139" spans="1:11" s="66" customFormat="1">
      <c r="A139" s="19">
        <v>40453</v>
      </c>
      <c r="G139" s="19">
        <v>40453</v>
      </c>
    </row>
    <row r="140" spans="1:11" s="66" customFormat="1">
      <c r="A140" s="19">
        <v>40497</v>
      </c>
      <c r="B140" s="78"/>
      <c r="C140" s="78"/>
      <c r="D140" s="78"/>
      <c r="E140" s="78"/>
      <c r="G140" s="19">
        <v>40497</v>
      </c>
      <c r="H140" s="78"/>
      <c r="I140" s="78"/>
      <c r="J140" s="78"/>
      <c r="K140" s="78"/>
    </row>
    <row r="141" spans="1:11" s="66" customFormat="1">
      <c r="A141" s="19">
        <v>40510</v>
      </c>
      <c r="B141" s="78"/>
      <c r="C141" s="78"/>
      <c r="D141" s="78"/>
      <c r="E141" s="78"/>
      <c r="G141" s="19">
        <v>40510</v>
      </c>
      <c r="H141" s="78"/>
      <c r="I141" s="78"/>
      <c r="J141" s="78"/>
      <c r="K141" s="78"/>
    </row>
    <row r="142" spans="1:11" s="66" customFormat="1">
      <c r="A142" s="19">
        <v>40516</v>
      </c>
      <c r="B142" s="78"/>
      <c r="C142" s="78"/>
      <c r="D142" s="78"/>
      <c r="E142" s="78"/>
      <c r="G142" s="19">
        <v>40516</v>
      </c>
      <c r="H142" s="78"/>
      <c r="I142" s="78"/>
      <c r="J142" s="78"/>
      <c r="K142" s="78"/>
    </row>
    <row r="143" spans="1:11" s="66" customFormat="1">
      <c r="A143" s="19">
        <v>40555</v>
      </c>
      <c r="B143" s="78"/>
      <c r="C143" s="78"/>
      <c r="D143" s="78"/>
      <c r="E143" s="78"/>
      <c r="G143" s="19">
        <v>40555</v>
      </c>
      <c r="H143" s="78"/>
      <c r="I143" s="78"/>
      <c r="J143" s="78"/>
      <c r="K143" s="78"/>
    </row>
    <row r="145" spans="1:11" s="66" customFormat="1">
      <c r="A145" s="66" t="s">
        <v>23</v>
      </c>
      <c r="B145" s="66" t="s">
        <v>108</v>
      </c>
      <c r="C145" s="66" t="s">
        <v>109</v>
      </c>
      <c r="D145" s="66" t="s">
        <v>110</v>
      </c>
      <c r="E145" s="66" t="s">
        <v>111</v>
      </c>
      <c r="G145" s="66" t="s">
        <v>23</v>
      </c>
      <c r="H145" s="66" t="s">
        <v>108</v>
      </c>
      <c r="I145" s="66" t="s">
        <v>109</v>
      </c>
      <c r="J145" s="66" t="s">
        <v>110</v>
      </c>
      <c r="K145" s="66" t="s">
        <v>111</v>
      </c>
    </row>
    <row r="146" spans="1:11" s="81" customFormat="1">
      <c r="A146" s="19">
        <v>40336</v>
      </c>
      <c r="B146" s="81">
        <v>4.09</v>
      </c>
      <c r="C146" s="81">
        <v>3.71</v>
      </c>
      <c r="D146" s="81">
        <v>2.91</v>
      </c>
      <c r="E146" s="39"/>
      <c r="G146" s="19">
        <v>40336</v>
      </c>
      <c r="H146" s="81">
        <v>161</v>
      </c>
      <c r="I146" s="81">
        <v>217</v>
      </c>
      <c r="J146" s="81">
        <v>123.9</v>
      </c>
      <c r="K146" s="39"/>
    </row>
    <row r="147" spans="1:11" s="81" customFormat="1">
      <c r="A147" s="19">
        <v>40379</v>
      </c>
      <c r="B147" s="81">
        <v>4.07</v>
      </c>
      <c r="C147" s="81">
        <v>4.26</v>
      </c>
      <c r="D147" s="81">
        <v>2.0099999999999998</v>
      </c>
      <c r="E147" s="81">
        <v>1.84</v>
      </c>
      <c r="G147" s="19">
        <v>40379</v>
      </c>
      <c r="H147" s="81">
        <v>176.4</v>
      </c>
      <c r="I147" s="81">
        <v>154.69999999999999</v>
      </c>
      <c r="J147" s="81">
        <v>79.099999999999994</v>
      </c>
      <c r="K147" s="81">
        <v>65.45</v>
      </c>
    </row>
    <row r="148" spans="1:11" s="81" customFormat="1">
      <c r="A148" s="19">
        <v>40389</v>
      </c>
      <c r="B148" s="81">
        <v>3.78</v>
      </c>
      <c r="C148" s="81">
        <v>4.13</v>
      </c>
      <c r="D148" s="81">
        <v>1.86</v>
      </c>
      <c r="E148" s="81">
        <v>1.56</v>
      </c>
      <c r="G148" s="19">
        <v>40389</v>
      </c>
      <c r="H148" s="81">
        <v>138.6</v>
      </c>
      <c r="I148" s="81">
        <v>256.89999999999998</v>
      </c>
      <c r="J148" s="81">
        <v>145.25</v>
      </c>
      <c r="K148" s="81">
        <v>92.75</v>
      </c>
    </row>
    <row r="149" spans="1:11" s="81" customFormat="1">
      <c r="A149" s="19">
        <v>40401</v>
      </c>
      <c r="B149" s="81">
        <v>1.94</v>
      </c>
      <c r="C149" s="81">
        <v>1.66</v>
      </c>
      <c r="D149" s="81">
        <v>1.64</v>
      </c>
      <c r="E149" s="81">
        <v>1.5</v>
      </c>
      <c r="G149" s="19">
        <v>40401</v>
      </c>
      <c r="H149" s="81">
        <v>55.3</v>
      </c>
      <c r="I149" s="81">
        <v>72.8</v>
      </c>
      <c r="J149" s="81">
        <v>75.95</v>
      </c>
      <c r="K149" s="81">
        <v>77</v>
      </c>
    </row>
    <row r="150" spans="1:11" s="81" customFormat="1">
      <c r="A150" s="19">
        <v>40410</v>
      </c>
      <c r="B150" s="81">
        <v>4.43</v>
      </c>
      <c r="C150" s="81">
        <v>1.92</v>
      </c>
      <c r="D150" s="81">
        <v>3.52</v>
      </c>
      <c r="E150" s="81">
        <v>2.29</v>
      </c>
      <c r="G150" s="19">
        <v>40410</v>
      </c>
      <c r="H150" s="81">
        <v>176.4</v>
      </c>
      <c r="I150" s="81">
        <v>103.6</v>
      </c>
      <c r="J150" s="81">
        <v>186.9</v>
      </c>
      <c r="K150" s="81">
        <v>91.35</v>
      </c>
    </row>
    <row r="151" spans="1:11" s="81" customFormat="1">
      <c r="A151" s="19">
        <v>40417</v>
      </c>
      <c r="B151" s="81">
        <v>5.81</v>
      </c>
      <c r="C151" s="81">
        <v>2.2400000000000002</v>
      </c>
      <c r="D151" s="81">
        <v>3</v>
      </c>
      <c r="E151" s="81">
        <v>1.43</v>
      </c>
      <c r="G151" s="19">
        <v>40417</v>
      </c>
      <c r="H151" s="81">
        <v>324.8</v>
      </c>
      <c r="I151" s="81">
        <v>82.95</v>
      </c>
      <c r="J151" s="81">
        <v>206.5</v>
      </c>
      <c r="K151" s="81">
        <v>67.55</v>
      </c>
    </row>
    <row r="152" spans="1:11" s="81" customFormat="1">
      <c r="A152" s="19">
        <v>40422</v>
      </c>
      <c r="B152" s="81">
        <v>3.98</v>
      </c>
      <c r="C152" s="81">
        <v>4.09</v>
      </c>
      <c r="D152" s="81">
        <v>1.87</v>
      </c>
      <c r="E152" s="81">
        <v>1.57</v>
      </c>
      <c r="G152" s="19">
        <v>40422</v>
      </c>
      <c r="H152" s="81">
        <v>235.9</v>
      </c>
      <c r="I152" s="81">
        <v>367.5</v>
      </c>
      <c r="J152" s="81">
        <v>97.3</v>
      </c>
      <c r="K152" s="81">
        <v>84</v>
      </c>
    </row>
    <row r="153" spans="1:11" s="81" customFormat="1">
      <c r="A153" s="19">
        <v>40431</v>
      </c>
      <c r="B153" s="81">
        <v>2.92</v>
      </c>
      <c r="C153" s="81">
        <v>2.36</v>
      </c>
      <c r="D153" s="81">
        <v>1.33</v>
      </c>
      <c r="E153" s="81">
        <v>1.1499999999999999</v>
      </c>
      <c r="G153" s="19">
        <v>40431</v>
      </c>
      <c r="H153" s="81">
        <v>181.3</v>
      </c>
      <c r="I153" s="81">
        <v>90.65</v>
      </c>
      <c r="J153" s="81">
        <v>53.2</v>
      </c>
      <c r="K153" s="81">
        <v>33.6</v>
      </c>
    </row>
    <row r="154" spans="1:11" s="81" customFormat="1">
      <c r="A154" s="19">
        <v>40438</v>
      </c>
      <c r="B154" s="81">
        <v>3.52</v>
      </c>
      <c r="C154" s="81">
        <v>4.3099999999999996</v>
      </c>
      <c r="D154" s="81">
        <v>3.28</v>
      </c>
      <c r="E154" s="81">
        <v>2.17</v>
      </c>
      <c r="G154" s="19">
        <v>40438</v>
      </c>
      <c r="H154" s="81">
        <v>211.4</v>
      </c>
      <c r="I154" s="81">
        <v>289.8</v>
      </c>
      <c r="J154" s="81">
        <v>226.8</v>
      </c>
      <c r="K154" s="81">
        <v>127.75</v>
      </c>
    </row>
    <row r="155" spans="1:11" s="66" customFormat="1">
      <c r="A155" s="19">
        <v>40549</v>
      </c>
      <c r="B155" s="66">
        <v>9.66</v>
      </c>
      <c r="C155" s="66">
        <v>2.9</v>
      </c>
      <c r="D155" s="66">
        <v>2.4</v>
      </c>
      <c r="E155" s="39"/>
      <c r="G155" s="19">
        <v>40549</v>
      </c>
      <c r="H155" s="66">
        <v>773.5</v>
      </c>
      <c r="I155" s="66">
        <v>98</v>
      </c>
      <c r="J155" s="66">
        <v>91</v>
      </c>
      <c r="K155" s="39"/>
    </row>
    <row r="156" spans="1:11" s="66" customFormat="1">
      <c r="A156" s="19">
        <v>40566</v>
      </c>
      <c r="B156" s="66">
        <v>6.11</v>
      </c>
      <c r="C156" s="66">
        <v>4.4800000000000004</v>
      </c>
      <c r="D156" s="66">
        <v>2.25</v>
      </c>
      <c r="E156" s="66">
        <v>3.27</v>
      </c>
      <c r="G156" s="19">
        <v>40566</v>
      </c>
      <c r="H156" s="66">
        <v>413</v>
      </c>
      <c r="I156" s="66">
        <v>252.7</v>
      </c>
      <c r="J156" s="66">
        <v>104.65</v>
      </c>
      <c r="K156" s="66">
        <v>84.7</v>
      </c>
    </row>
    <row r="157" spans="1:11" s="66" customFormat="1">
      <c r="A157" s="19">
        <v>40586</v>
      </c>
      <c r="B157" s="66">
        <v>4.8600000000000003</v>
      </c>
      <c r="C157" s="66">
        <v>6.35</v>
      </c>
      <c r="D157" s="66">
        <v>2.2000000000000002</v>
      </c>
      <c r="E157" s="66">
        <v>2.35</v>
      </c>
      <c r="G157" s="19">
        <v>40586</v>
      </c>
      <c r="H157" s="66">
        <v>166.25</v>
      </c>
      <c r="I157" s="66">
        <v>4.9000000000000004</v>
      </c>
      <c r="J157" s="66">
        <v>77.349999999999994</v>
      </c>
      <c r="K157" s="66">
        <v>59.15</v>
      </c>
    </row>
    <row r="158" spans="1:11" s="66" customFormat="1">
      <c r="A158" s="19">
        <v>40632</v>
      </c>
      <c r="B158" s="66">
        <v>5.1100000000000003</v>
      </c>
      <c r="C158" s="66">
        <v>0.72</v>
      </c>
      <c r="D158" s="66">
        <v>0.76</v>
      </c>
      <c r="E158" s="78"/>
      <c r="G158" s="19">
        <v>40632</v>
      </c>
      <c r="H158" s="66">
        <v>39.200000000000003</v>
      </c>
      <c r="I158" s="66">
        <v>17.149999999999999</v>
      </c>
      <c r="J158" s="66">
        <v>23.45</v>
      </c>
      <c r="K158" s="78"/>
    </row>
    <row r="159" spans="1:11" s="81" customFormat="1">
      <c r="A159" s="19">
        <v>40679</v>
      </c>
      <c r="B159" s="81">
        <v>6.87</v>
      </c>
      <c r="C159" s="81">
        <v>3.61</v>
      </c>
      <c r="D159" s="81">
        <v>2.14</v>
      </c>
      <c r="E159" s="78"/>
      <c r="G159" s="19">
        <v>40679</v>
      </c>
      <c r="H159" s="81">
        <v>263.55</v>
      </c>
      <c r="I159" s="81">
        <v>171.5</v>
      </c>
      <c r="J159" s="81">
        <v>92.75</v>
      </c>
      <c r="K159" s="78"/>
    </row>
    <row r="160" spans="1:11" s="66" customFormat="1"/>
    <row r="161" spans="1:11">
      <c r="A161" t="s">
        <v>23</v>
      </c>
      <c r="B161" s="66" t="s">
        <v>104</v>
      </c>
      <c r="C161" s="66" t="s">
        <v>105</v>
      </c>
      <c r="D161" s="66" t="s">
        <v>106</v>
      </c>
      <c r="E161" s="66" t="s">
        <v>107</v>
      </c>
      <c r="G161" t="s">
        <v>23</v>
      </c>
      <c r="H161" s="66" t="s">
        <v>104</v>
      </c>
      <c r="I161" s="66" t="s">
        <v>105</v>
      </c>
      <c r="J161" s="66" t="s">
        <v>106</v>
      </c>
      <c r="K161" s="66" t="s">
        <v>107</v>
      </c>
    </row>
    <row r="162" spans="1:11">
      <c r="A162" s="19">
        <v>40336</v>
      </c>
      <c r="B162">
        <v>4.09</v>
      </c>
      <c r="C162">
        <v>3.71</v>
      </c>
      <c r="D162">
        <v>2.91</v>
      </c>
      <c r="E162" s="39"/>
      <c r="G162" s="19">
        <v>40336</v>
      </c>
      <c r="H162">
        <v>161</v>
      </c>
      <c r="I162">
        <v>217</v>
      </c>
      <c r="J162">
        <v>123.9</v>
      </c>
      <c r="K162" s="39"/>
    </row>
    <row r="163" spans="1:11">
      <c r="A163" s="19">
        <v>40379</v>
      </c>
      <c r="B163">
        <v>4.07</v>
      </c>
      <c r="C163">
        <v>4.26</v>
      </c>
      <c r="D163">
        <v>2.0099999999999998</v>
      </c>
      <c r="E163">
        <v>1.84</v>
      </c>
      <c r="G163" s="19">
        <v>40379</v>
      </c>
      <c r="H163">
        <v>176.4</v>
      </c>
      <c r="I163">
        <v>154.69999999999999</v>
      </c>
      <c r="J163">
        <v>79.099999999999994</v>
      </c>
      <c r="K163">
        <v>65.45</v>
      </c>
    </row>
    <row r="164" spans="1:11">
      <c r="A164" s="19">
        <v>40389</v>
      </c>
      <c r="B164">
        <v>3.78</v>
      </c>
      <c r="C164">
        <v>4.13</v>
      </c>
      <c r="D164">
        <v>1.86</v>
      </c>
      <c r="E164">
        <v>1.56</v>
      </c>
      <c r="G164" s="19">
        <v>40389</v>
      </c>
      <c r="H164">
        <v>138.6</v>
      </c>
      <c r="I164">
        <v>256.89999999999998</v>
      </c>
      <c r="J164">
        <v>145.25</v>
      </c>
      <c r="K164">
        <v>92.75</v>
      </c>
    </row>
    <row r="165" spans="1:11">
      <c r="A165" s="19">
        <v>40401</v>
      </c>
      <c r="B165">
        <v>1.94</v>
      </c>
      <c r="C165">
        <v>1.66</v>
      </c>
      <c r="D165">
        <v>1.64</v>
      </c>
      <c r="E165">
        <v>1.5</v>
      </c>
      <c r="G165" s="19">
        <v>40401</v>
      </c>
      <c r="H165">
        <v>55.3</v>
      </c>
      <c r="I165">
        <v>72.8</v>
      </c>
      <c r="J165">
        <v>75.95</v>
      </c>
      <c r="K165">
        <v>77</v>
      </c>
    </row>
    <row r="166" spans="1:11">
      <c r="A166" s="19">
        <v>40410</v>
      </c>
      <c r="B166">
        <v>4.43</v>
      </c>
      <c r="C166">
        <v>1.92</v>
      </c>
      <c r="D166">
        <v>3.52</v>
      </c>
      <c r="E166">
        <v>2.29</v>
      </c>
      <c r="G166" s="19">
        <v>40410</v>
      </c>
      <c r="H166">
        <v>176.4</v>
      </c>
      <c r="I166">
        <v>103.6</v>
      </c>
      <c r="J166">
        <v>186.9</v>
      </c>
      <c r="K166">
        <v>91.35</v>
      </c>
    </row>
    <row r="167" spans="1:11">
      <c r="A167" s="19">
        <v>40417</v>
      </c>
      <c r="B167">
        <v>5.81</v>
      </c>
      <c r="C167">
        <v>2.2400000000000002</v>
      </c>
      <c r="D167">
        <v>3</v>
      </c>
      <c r="E167">
        <v>1.43</v>
      </c>
      <c r="G167" s="19">
        <v>40417</v>
      </c>
      <c r="H167">
        <v>324.8</v>
      </c>
      <c r="I167">
        <v>82.95</v>
      </c>
      <c r="J167">
        <v>206.5</v>
      </c>
      <c r="K167">
        <v>67.55</v>
      </c>
    </row>
    <row r="168" spans="1:11">
      <c r="A168" s="19">
        <v>40422</v>
      </c>
      <c r="B168">
        <v>3.98</v>
      </c>
      <c r="C168">
        <v>4.09</v>
      </c>
      <c r="D168">
        <v>1.87</v>
      </c>
      <c r="E168">
        <v>1.57</v>
      </c>
      <c r="G168" s="19">
        <v>40422</v>
      </c>
      <c r="H168">
        <v>235.9</v>
      </c>
      <c r="I168">
        <v>367.5</v>
      </c>
      <c r="J168">
        <v>97.3</v>
      </c>
      <c r="K168">
        <v>84</v>
      </c>
    </row>
    <row r="169" spans="1:11">
      <c r="A169" s="19">
        <v>40431</v>
      </c>
      <c r="B169">
        <v>2.92</v>
      </c>
      <c r="C169">
        <v>2.36</v>
      </c>
      <c r="D169">
        <v>1.33</v>
      </c>
      <c r="E169">
        <v>1.1499999999999999</v>
      </c>
      <c r="G169" s="19">
        <v>40431</v>
      </c>
      <c r="H169">
        <v>181.3</v>
      </c>
      <c r="I169">
        <v>90.65</v>
      </c>
      <c r="J169">
        <v>53.2</v>
      </c>
      <c r="K169">
        <v>33.6</v>
      </c>
    </row>
    <row r="170" spans="1:11">
      <c r="A170" s="19">
        <v>40438</v>
      </c>
      <c r="B170">
        <v>3.52</v>
      </c>
      <c r="C170">
        <v>4.3099999999999996</v>
      </c>
      <c r="D170">
        <v>3.28</v>
      </c>
      <c r="E170">
        <v>2.17</v>
      </c>
      <c r="G170" s="19">
        <v>40438</v>
      </c>
      <c r="H170">
        <v>211.4</v>
      </c>
      <c r="I170">
        <v>289.8</v>
      </c>
      <c r="J170">
        <v>226.8</v>
      </c>
      <c r="K170">
        <v>127.75</v>
      </c>
    </row>
    <row r="171" spans="1:11" s="66" customFormat="1">
      <c r="A171" s="19">
        <v>40549</v>
      </c>
      <c r="B171" s="66">
        <v>4.0999999999999996</v>
      </c>
      <c r="C171" s="66">
        <v>2.5499999999999998</v>
      </c>
      <c r="D171" s="66">
        <v>1.03</v>
      </c>
      <c r="E171" s="78"/>
      <c r="G171" s="19">
        <v>40549</v>
      </c>
      <c r="H171" s="66">
        <v>198.8</v>
      </c>
      <c r="I171" s="66">
        <v>61.6</v>
      </c>
      <c r="J171" s="66">
        <v>43.05</v>
      </c>
      <c r="K171" s="78"/>
    </row>
    <row r="172" spans="1:11" s="66" customFormat="1">
      <c r="A172" s="19">
        <v>40566</v>
      </c>
      <c r="B172" s="66">
        <v>7.25</v>
      </c>
      <c r="C172" s="66">
        <v>3.67</v>
      </c>
      <c r="D172" s="66">
        <v>2.84</v>
      </c>
      <c r="E172" s="66">
        <v>2.44</v>
      </c>
      <c r="G172" s="19">
        <v>40566</v>
      </c>
      <c r="H172" s="66">
        <v>281.75</v>
      </c>
      <c r="I172" s="66">
        <v>108.85</v>
      </c>
      <c r="J172" s="66">
        <v>74.2</v>
      </c>
      <c r="K172" s="66">
        <v>63.35</v>
      </c>
    </row>
    <row r="173" spans="1:11" s="66" customFormat="1">
      <c r="A173" s="19">
        <v>40586</v>
      </c>
      <c r="B173" s="66">
        <v>6.51</v>
      </c>
      <c r="C173" s="66">
        <v>3.56</v>
      </c>
      <c r="D173" s="66">
        <v>2.91</v>
      </c>
      <c r="E173" s="66">
        <v>2.2000000000000002</v>
      </c>
      <c r="G173" s="19">
        <v>40586</v>
      </c>
      <c r="H173" s="66">
        <v>360.5</v>
      </c>
      <c r="I173" s="66">
        <v>4.9000000000000004</v>
      </c>
      <c r="J173" s="66">
        <v>3.85</v>
      </c>
      <c r="K173" s="66">
        <v>94.5</v>
      </c>
    </row>
    <row r="174" spans="1:11" s="81" customFormat="1">
      <c r="A174" s="19">
        <v>40632</v>
      </c>
      <c r="B174" s="81">
        <v>0.94</v>
      </c>
      <c r="C174" s="81">
        <v>0.93</v>
      </c>
      <c r="D174" s="81">
        <v>0.83</v>
      </c>
      <c r="E174" s="78"/>
      <c r="G174" s="19">
        <v>40632</v>
      </c>
      <c r="H174" s="81">
        <v>31.15</v>
      </c>
      <c r="I174" s="81">
        <v>27.65</v>
      </c>
      <c r="J174" s="81">
        <v>31.85</v>
      </c>
      <c r="K174" s="78"/>
    </row>
    <row r="175" spans="1:11" s="81" customFormat="1">
      <c r="A175" s="19">
        <v>40679</v>
      </c>
      <c r="B175" s="81">
        <v>3.94</v>
      </c>
      <c r="C175" s="81">
        <v>2.0099999999999998</v>
      </c>
      <c r="D175" s="81">
        <v>1.85</v>
      </c>
      <c r="E175" s="39"/>
      <c r="G175" s="19">
        <v>40679</v>
      </c>
      <c r="H175" s="81">
        <v>212.1</v>
      </c>
      <c r="I175" s="81">
        <v>98.35</v>
      </c>
      <c r="J175" s="81">
        <v>61.95</v>
      </c>
      <c r="K175" s="39"/>
    </row>
    <row r="177" spans="1:11" s="66" customFormat="1">
      <c r="A177" s="66" t="s">
        <v>23</v>
      </c>
      <c r="B177" s="66" t="s">
        <v>116</v>
      </c>
      <c r="C177" s="66" t="s">
        <v>117</v>
      </c>
      <c r="D177" s="66" t="s">
        <v>118</v>
      </c>
      <c r="E177" s="66" t="s">
        <v>119</v>
      </c>
      <c r="G177" s="66" t="s">
        <v>23</v>
      </c>
      <c r="H177" s="66" t="s">
        <v>116</v>
      </c>
      <c r="I177" s="66" t="s">
        <v>117</v>
      </c>
      <c r="J177" s="66" t="s">
        <v>118</v>
      </c>
      <c r="K177" s="66" t="s">
        <v>119</v>
      </c>
    </row>
    <row r="178" spans="1:11" s="81" customFormat="1">
      <c r="A178" s="19">
        <v>40336</v>
      </c>
      <c r="B178" s="81">
        <v>3.65</v>
      </c>
      <c r="C178" s="81">
        <v>3.64</v>
      </c>
      <c r="D178" s="81">
        <v>4.0199999999999996</v>
      </c>
      <c r="E178" s="39"/>
      <c r="G178" s="19">
        <v>40336</v>
      </c>
      <c r="H178" s="81">
        <v>70.7</v>
      </c>
      <c r="I178" s="81">
        <v>99.4</v>
      </c>
      <c r="J178" s="81">
        <v>147.69999999999999</v>
      </c>
      <c r="K178" s="39"/>
    </row>
    <row r="179" spans="1:11" s="81" customFormat="1">
      <c r="A179" s="19">
        <v>40379</v>
      </c>
      <c r="B179" s="81">
        <v>5.96</v>
      </c>
      <c r="C179" s="81">
        <v>4.0999999999999996</v>
      </c>
      <c r="D179" s="81">
        <v>2.66</v>
      </c>
      <c r="E179" s="81">
        <v>1.65</v>
      </c>
      <c r="G179" s="19">
        <v>40379</v>
      </c>
      <c r="H179" s="81">
        <v>500.5</v>
      </c>
      <c r="I179" s="81">
        <v>331.1</v>
      </c>
      <c r="J179" s="81">
        <v>179.2</v>
      </c>
      <c r="K179" s="81">
        <v>82.25</v>
      </c>
    </row>
    <row r="180" spans="1:11" s="81" customFormat="1">
      <c r="A180" s="19">
        <v>40389</v>
      </c>
      <c r="B180" s="81">
        <v>3.78</v>
      </c>
      <c r="C180" s="81">
        <v>4.13</v>
      </c>
      <c r="D180" s="81">
        <v>1.86</v>
      </c>
      <c r="E180" s="81">
        <v>1.56</v>
      </c>
      <c r="G180" s="19">
        <v>40389</v>
      </c>
      <c r="H180" s="81">
        <v>138.6</v>
      </c>
      <c r="I180" s="81">
        <v>256.89999999999998</v>
      </c>
      <c r="J180" s="81">
        <v>145.25</v>
      </c>
      <c r="K180" s="81">
        <v>92.75</v>
      </c>
    </row>
    <row r="181" spans="1:11" s="81" customFormat="1">
      <c r="A181" s="19">
        <v>40401</v>
      </c>
      <c r="B181" s="81">
        <v>4.34</v>
      </c>
      <c r="C181" s="81">
        <v>2.85</v>
      </c>
      <c r="D181" s="81">
        <v>2.67</v>
      </c>
      <c r="E181" s="81">
        <v>2.56</v>
      </c>
      <c r="G181" s="19">
        <v>40401</v>
      </c>
      <c r="H181" s="81">
        <v>266.7</v>
      </c>
      <c r="I181" s="81">
        <v>135.44999999999999</v>
      </c>
      <c r="J181" s="81">
        <v>142.1</v>
      </c>
      <c r="K181" s="81">
        <v>136.15</v>
      </c>
    </row>
    <row r="182" spans="1:11" s="81" customFormat="1">
      <c r="A182" s="19">
        <v>40410</v>
      </c>
      <c r="B182" s="81">
        <v>3.92</v>
      </c>
      <c r="C182" s="81">
        <v>3.92</v>
      </c>
      <c r="D182" s="81">
        <v>2.1800000000000002</v>
      </c>
      <c r="E182" s="81">
        <v>2.64</v>
      </c>
      <c r="G182" s="19">
        <v>40410</v>
      </c>
      <c r="H182" s="81">
        <v>112.7</v>
      </c>
      <c r="I182" s="81">
        <v>167.3</v>
      </c>
      <c r="J182" s="81">
        <v>91.35</v>
      </c>
      <c r="K182" s="81">
        <v>95.2</v>
      </c>
    </row>
    <row r="183" spans="1:11" s="81" customFormat="1">
      <c r="A183" s="19">
        <v>40422</v>
      </c>
      <c r="B183" s="81">
        <v>4.71</v>
      </c>
      <c r="C183" s="81">
        <v>3.17</v>
      </c>
      <c r="D183" s="81">
        <v>2.13</v>
      </c>
      <c r="E183" s="81">
        <v>1.74</v>
      </c>
      <c r="G183" s="19">
        <v>40422</v>
      </c>
      <c r="H183" s="81">
        <v>437.5</v>
      </c>
      <c r="I183" s="81">
        <v>240.8</v>
      </c>
      <c r="J183" s="81">
        <v>115.85</v>
      </c>
      <c r="K183" s="81">
        <v>75.95</v>
      </c>
    </row>
    <row r="184" spans="1:11" s="81" customFormat="1">
      <c r="A184" s="19">
        <v>40431</v>
      </c>
      <c r="B184" s="81">
        <v>4.57</v>
      </c>
      <c r="C184" s="81">
        <v>3.77</v>
      </c>
      <c r="D184" s="81">
        <v>2.86</v>
      </c>
      <c r="E184" s="81">
        <v>2.17</v>
      </c>
      <c r="G184" s="19">
        <v>40431</v>
      </c>
      <c r="H184" s="81">
        <v>274.75</v>
      </c>
      <c r="I184" s="81">
        <v>252</v>
      </c>
      <c r="J184" s="81">
        <v>190.05</v>
      </c>
      <c r="K184" s="81">
        <v>85.75</v>
      </c>
    </row>
    <row r="185" spans="1:11" s="81" customFormat="1">
      <c r="A185" s="19">
        <v>40438</v>
      </c>
      <c r="B185" s="81">
        <v>4.21</v>
      </c>
      <c r="C185" s="81">
        <v>4.16</v>
      </c>
      <c r="D185" s="81">
        <v>3.44</v>
      </c>
      <c r="E185" s="81">
        <v>2.27</v>
      </c>
      <c r="G185" s="19">
        <v>40438</v>
      </c>
      <c r="H185" s="81">
        <v>293.3</v>
      </c>
      <c r="I185" s="81">
        <v>284.89999999999998</v>
      </c>
      <c r="J185" s="81">
        <v>202.65</v>
      </c>
      <c r="K185" s="81">
        <v>118.65</v>
      </c>
    </row>
    <row r="186" spans="1:11" s="66" customFormat="1">
      <c r="A186" s="19">
        <v>40549</v>
      </c>
      <c r="B186" s="66">
        <v>5.89</v>
      </c>
      <c r="C186" s="66">
        <v>3.12</v>
      </c>
      <c r="D186" s="66">
        <v>2.1800000000000002</v>
      </c>
      <c r="E186" s="78"/>
      <c r="G186" s="19">
        <v>40549</v>
      </c>
      <c r="H186" s="66">
        <v>409.5</v>
      </c>
      <c r="I186" s="66">
        <v>112</v>
      </c>
      <c r="J186" s="66">
        <v>89.95</v>
      </c>
      <c r="K186" s="78"/>
    </row>
    <row r="187" spans="1:11" s="66" customFormat="1">
      <c r="A187" s="19">
        <v>40566</v>
      </c>
      <c r="B187" s="66">
        <v>4.87</v>
      </c>
      <c r="C187" s="66">
        <v>9.42</v>
      </c>
      <c r="D187" s="66">
        <v>4.87</v>
      </c>
      <c r="E187" s="66">
        <v>3.06</v>
      </c>
      <c r="G187" s="19">
        <v>40566</v>
      </c>
      <c r="H187" s="66">
        <v>212.8</v>
      </c>
      <c r="I187" s="66">
        <v>273</v>
      </c>
      <c r="J187" s="66">
        <v>219.8</v>
      </c>
      <c r="K187" s="66">
        <v>116.9</v>
      </c>
    </row>
    <row r="188" spans="1:11" s="66" customFormat="1">
      <c r="A188" s="19">
        <v>40586</v>
      </c>
      <c r="B188" s="66">
        <v>4.63</v>
      </c>
      <c r="C188" s="66">
        <v>6.57</v>
      </c>
      <c r="D188" s="66">
        <v>2.33</v>
      </c>
      <c r="E188" s="66">
        <v>1.59</v>
      </c>
      <c r="G188" s="19">
        <v>40586</v>
      </c>
      <c r="H188" s="66">
        <v>105.35</v>
      </c>
      <c r="I188" s="66">
        <v>4.2</v>
      </c>
      <c r="J188" s="66">
        <v>48.65</v>
      </c>
      <c r="K188" s="66">
        <v>42.35</v>
      </c>
    </row>
    <row r="189" spans="1:11" s="81" customFormat="1">
      <c r="A189" s="19">
        <v>40632</v>
      </c>
      <c r="B189" s="81">
        <v>5.6</v>
      </c>
      <c r="C189" s="81">
        <v>1.07</v>
      </c>
      <c r="D189" s="81">
        <v>1.18</v>
      </c>
      <c r="E189" s="39"/>
      <c r="G189" s="19">
        <v>40632</v>
      </c>
      <c r="H189" s="81">
        <v>127.4</v>
      </c>
      <c r="I189" s="81">
        <v>37.799999999999997</v>
      </c>
      <c r="J189" s="81">
        <v>42.35</v>
      </c>
      <c r="K189" s="39"/>
    </row>
    <row r="190" spans="1:11" s="66" customFormat="1"/>
    <row r="191" spans="1:11">
      <c r="A191" t="s">
        <v>23</v>
      </c>
      <c r="B191" s="66" t="s">
        <v>112</v>
      </c>
      <c r="C191" s="66" t="s">
        <v>113</v>
      </c>
      <c r="D191" s="66" t="s">
        <v>114</v>
      </c>
      <c r="E191" s="66" t="s">
        <v>115</v>
      </c>
      <c r="G191" t="s">
        <v>23</v>
      </c>
      <c r="H191" s="66" t="s">
        <v>112</v>
      </c>
      <c r="I191" s="66" t="s">
        <v>113</v>
      </c>
      <c r="J191" s="66" t="s">
        <v>114</v>
      </c>
      <c r="K191" s="66" t="s">
        <v>115</v>
      </c>
    </row>
    <row r="192" spans="1:11">
      <c r="A192" s="19">
        <v>40336</v>
      </c>
      <c r="B192">
        <v>3.65</v>
      </c>
      <c r="C192">
        <v>3.64</v>
      </c>
      <c r="D192">
        <v>4.0199999999999996</v>
      </c>
      <c r="E192" s="39"/>
      <c r="G192" s="19">
        <v>40336</v>
      </c>
      <c r="H192">
        <v>70.7</v>
      </c>
      <c r="I192">
        <v>99.4</v>
      </c>
      <c r="J192">
        <v>147.69999999999999</v>
      </c>
      <c r="K192" s="39"/>
    </row>
    <row r="193" spans="1:11">
      <c r="A193" s="19">
        <v>40379</v>
      </c>
      <c r="B193">
        <v>5.96</v>
      </c>
      <c r="C193">
        <v>4.0999999999999996</v>
      </c>
      <c r="D193">
        <v>2.66</v>
      </c>
      <c r="E193">
        <v>1.65</v>
      </c>
      <c r="G193" s="19">
        <v>40379</v>
      </c>
      <c r="H193">
        <v>500.5</v>
      </c>
      <c r="I193">
        <v>331.1</v>
      </c>
      <c r="J193">
        <v>179.2</v>
      </c>
      <c r="K193">
        <v>82.25</v>
      </c>
    </row>
    <row r="194" spans="1:11">
      <c r="A194" s="19">
        <v>40389</v>
      </c>
      <c r="B194">
        <v>3.78</v>
      </c>
      <c r="C194">
        <v>4.13</v>
      </c>
      <c r="D194">
        <v>1.86</v>
      </c>
      <c r="E194">
        <v>1.56</v>
      </c>
      <c r="G194" s="19">
        <v>40389</v>
      </c>
      <c r="H194">
        <v>138.6</v>
      </c>
      <c r="I194">
        <v>256.89999999999998</v>
      </c>
      <c r="J194">
        <v>145.25</v>
      </c>
      <c r="K194">
        <v>92.75</v>
      </c>
    </row>
    <row r="195" spans="1:11">
      <c r="A195" s="19">
        <v>40401</v>
      </c>
      <c r="B195">
        <v>4.34</v>
      </c>
      <c r="C195">
        <v>2.85</v>
      </c>
      <c r="D195">
        <v>2.67</v>
      </c>
      <c r="E195">
        <v>2.56</v>
      </c>
      <c r="G195" s="19">
        <v>40401</v>
      </c>
      <c r="H195">
        <v>266.7</v>
      </c>
      <c r="I195">
        <v>135.44999999999999</v>
      </c>
      <c r="J195">
        <v>142.1</v>
      </c>
      <c r="K195">
        <v>136.15</v>
      </c>
    </row>
    <row r="196" spans="1:11">
      <c r="A196" s="19">
        <v>40410</v>
      </c>
      <c r="B196">
        <v>3.92</v>
      </c>
      <c r="C196">
        <v>3.92</v>
      </c>
      <c r="D196">
        <v>2.1800000000000002</v>
      </c>
      <c r="E196">
        <v>2.64</v>
      </c>
      <c r="G196" s="19">
        <v>40410</v>
      </c>
      <c r="H196">
        <v>112.7</v>
      </c>
      <c r="I196">
        <v>167.3</v>
      </c>
      <c r="J196">
        <v>91.35</v>
      </c>
      <c r="K196">
        <v>95.2</v>
      </c>
    </row>
    <row r="197" spans="1:11">
      <c r="A197" s="19">
        <v>40422</v>
      </c>
      <c r="B197">
        <v>4.71</v>
      </c>
      <c r="C197">
        <v>3.17</v>
      </c>
      <c r="D197">
        <v>2.13</v>
      </c>
      <c r="E197">
        <v>1.74</v>
      </c>
      <c r="G197" s="19">
        <v>40422</v>
      </c>
      <c r="H197">
        <v>437.5</v>
      </c>
      <c r="I197">
        <v>240.8</v>
      </c>
      <c r="J197">
        <v>115.85</v>
      </c>
      <c r="K197">
        <v>75.95</v>
      </c>
    </row>
    <row r="198" spans="1:11">
      <c r="A198" s="19">
        <v>40431</v>
      </c>
      <c r="B198">
        <v>4.57</v>
      </c>
      <c r="C198">
        <v>3.77</v>
      </c>
      <c r="D198">
        <v>2.86</v>
      </c>
      <c r="E198">
        <v>2.17</v>
      </c>
      <c r="G198" s="19">
        <v>40431</v>
      </c>
      <c r="H198">
        <v>274.75</v>
      </c>
      <c r="I198">
        <v>252</v>
      </c>
      <c r="J198">
        <v>190.05</v>
      </c>
      <c r="K198">
        <v>85.75</v>
      </c>
    </row>
    <row r="199" spans="1:11">
      <c r="A199" s="19">
        <v>40438</v>
      </c>
      <c r="B199">
        <v>4.21</v>
      </c>
      <c r="C199">
        <v>4.16</v>
      </c>
      <c r="D199" s="66">
        <v>3.44</v>
      </c>
      <c r="E199">
        <v>2.27</v>
      </c>
      <c r="G199" s="19">
        <v>40438</v>
      </c>
      <c r="H199">
        <v>293.3</v>
      </c>
      <c r="I199">
        <v>284.89999999999998</v>
      </c>
      <c r="J199">
        <v>202.65</v>
      </c>
      <c r="K199">
        <v>118.65</v>
      </c>
    </row>
    <row r="200" spans="1:11" s="66" customFormat="1">
      <c r="A200" s="19">
        <v>40549</v>
      </c>
      <c r="B200" s="66">
        <v>4.97</v>
      </c>
      <c r="C200" s="66">
        <v>2.11</v>
      </c>
      <c r="D200" s="66">
        <v>3.42</v>
      </c>
      <c r="E200" s="78"/>
      <c r="G200" s="19">
        <v>40549</v>
      </c>
      <c r="H200" s="66">
        <v>186.9</v>
      </c>
      <c r="I200" s="66">
        <v>47.25</v>
      </c>
      <c r="J200" s="66">
        <v>154.69999999999999</v>
      </c>
      <c r="K200" s="78"/>
    </row>
    <row r="201" spans="1:11" s="66" customFormat="1">
      <c r="A201" s="19">
        <v>40566</v>
      </c>
      <c r="B201" s="66">
        <v>5.82</v>
      </c>
      <c r="C201" s="66">
        <v>9.17</v>
      </c>
      <c r="D201" s="66">
        <v>4.1500000000000004</v>
      </c>
      <c r="E201" s="66">
        <v>2.4</v>
      </c>
      <c r="G201" s="19">
        <v>40566</v>
      </c>
      <c r="H201" s="66">
        <v>385</v>
      </c>
      <c r="I201" s="66">
        <v>184.8</v>
      </c>
      <c r="J201" s="66">
        <v>234.5</v>
      </c>
      <c r="K201" s="66">
        <v>93.45</v>
      </c>
    </row>
    <row r="202" spans="1:11" s="66" customFormat="1">
      <c r="A202" s="19">
        <v>40586</v>
      </c>
      <c r="B202" s="66">
        <v>5.47</v>
      </c>
      <c r="C202" s="66">
        <v>4.54</v>
      </c>
      <c r="D202" s="66">
        <v>2.11</v>
      </c>
      <c r="E202" s="66">
        <v>1.84</v>
      </c>
      <c r="G202" s="19">
        <v>40586</v>
      </c>
      <c r="H202" s="66">
        <v>3.85</v>
      </c>
      <c r="I202" s="66">
        <v>4.2</v>
      </c>
      <c r="J202" s="66">
        <v>3.85</v>
      </c>
      <c r="K202" s="66">
        <v>82.25</v>
      </c>
    </row>
    <row r="203" spans="1:11" s="81" customFormat="1">
      <c r="A203" s="19">
        <v>40632</v>
      </c>
      <c r="B203" s="81">
        <v>5.6</v>
      </c>
      <c r="C203" s="81">
        <v>1.07</v>
      </c>
      <c r="D203" s="81">
        <v>1.18</v>
      </c>
      <c r="E203" s="78"/>
      <c r="G203" s="19">
        <v>40632</v>
      </c>
      <c r="H203" s="81">
        <v>127.4</v>
      </c>
      <c r="I203" s="81">
        <v>37.799999999999997</v>
      </c>
      <c r="J203" s="81">
        <v>42.35</v>
      </c>
      <c r="K203" s="78"/>
    </row>
    <row r="204" spans="1:11" s="81" customFormat="1">
      <c r="A204" s="19">
        <v>40679</v>
      </c>
      <c r="B204" s="81">
        <v>3.05</v>
      </c>
      <c r="C204" s="81">
        <v>4.75</v>
      </c>
      <c r="D204" s="81">
        <v>1.64</v>
      </c>
      <c r="E204" s="39"/>
      <c r="G204" s="19">
        <v>40679</v>
      </c>
      <c r="H204" s="81">
        <v>103.95</v>
      </c>
      <c r="I204" s="81">
        <v>144.19999999999999</v>
      </c>
      <c r="J204" s="81">
        <v>51.45</v>
      </c>
      <c r="K204" s="39"/>
    </row>
    <row r="206" spans="1:11">
      <c r="A206" t="s">
        <v>23</v>
      </c>
      <c r="B206" t="s">
        <v>54</v>
      </c>
      <c r="C206" t="s">
        <v>55</v>
      </c>
      <c r="D206" t="s">
        <v>56</v>
      </c>
      <c r="E206" t="s">
        <v>57</v>
      </c>
      <c r="G206" t="s">
        <v>23</v>
      </c>
      <c r="H206" t="s">
        <v>54</v>
      </c>
      <c r="I206" t="s">
        <v>55</v>
      </c>
      <c r="J206" t="s">
        <v>56</v>
      </c>
      <c r="K206" t="s">
        <v>57</v>
      </c>
    </row>
    <row r="207" spans="1:11">
      <c r="A207" s="19">
        <v>40336</v>
      </c>
      <c r="B207">
        <v>5.49</v>
      </c>
      <c r="C207">
        <v>4.58</v>
      </c>
      <c r="D207">
        <v>4.53</v>
      </c>
      <c r="E207" s="39"/>
      <c r="G207" s="19">
        <v>40336</v>
      </c>
      <c r="H207">
        <v>479.5</v>
      </c>
      <c r="I207">
        <v>299.60000000000002</v>
      </c>
      <c r="J207">
        <v>364</v>
      </c>
      <c r="K207" s="39"/>
    </row>
    <row r="208" spans="1:11">
      <c r="A208" s="19">
        <v>40379</v>
      </c>
      <c r="B208">
        <v>5.12</v>
      </c>
      <c r="C208">
        <v>4.8099999999999996</v>
      </c>
      <c r="D208">
        <v>2.78</v>
      </c>
      <c r="E208">
        <v>2.0299999999999998</v>
      </c>
      <c r="G208" s="19">
        <v>40379</v>
      </c>
      <c r="H208">
        <v>274.39999999999998</v>
      </c>
      <c r="I208">
        <v>219.1</v>
      </c>
      <c r="J208">
        <v>153.30000000000001</v>
      </c>
      <c r="K208">
        <v>106.4</v>
      </c>
    </row>
    <row r="209" spans="1:11">
      <c r="A209" s="19">
        <v>40389</v>
      </c>
      <c r="B209">
        <v>6.75</v>
      </c>
      <c r="C209">
        <v>5.54</v>
      </c>
      <c r="D209">
        <v>2.72</v>
      </c>
      <c r="E209">
        <v>2.36</v>
      </c>
      <c r="G209" s="19">
        <v>40389</v>
      </c>
      <c r="H209">
        <v>707</v>
      </c>
      <c r="I209">
        <v>406</v>
      </c>
      <c r="J209">
        <v>135.80000000000001</v>
      </c>
      <c r="K209">
        <v>109.2</v>
      </c>
    </row>
    <row r="210" spans="1:11">
      <c r="A210" s="19">
        <v>40401</v>
      </c>
      <c r="B210">
        <v>2.59</v>
      </c>
      <c r="C210">
        <v>1.22</v>
      </c>
      <c r="D210">
        <v>1.39</v>
      </c>
      <c r="E210">
        <v>1.08</v>
      </c>
      <c r="G210" s="19">
        <v>40401</v>
      </c>
      <c r="H210">
        <v>84.7</v>
      </c>
      <c r="I210">
        <v>49</v>
      </c>
      <c r="J210">
        <v>60.9</v>
      </c>
      <c r="K210">
        <v>42.35</v>
      </c>
    </row>
    <row r="211" spans="1:11">
      <c r="A211" s="19">
        <v>40410</v>
      </c>
      <c r="B211">
        <v>5.86</v>
      </c>
      <c r="C211">
        <v>3.62</v>
      </c>
      <c r="D211">
        <v>4.34</v>
      </c>
      <c r="E211">
        <v>2.54</v>
      </c>
      <c r="G211" s="19">
        <v>40410</v>
      </c>
      <c r="H211">
        <v>570.5</v>
      </c>
      <c r="I211">
        <v>199.5</v>
      </c>
      <c r="J211">
        <v>246.4</v>
      </c>
      <c r="K211">
        <v>109.2</v>
      </c>
    </row>
    <row r="212" spans="1:11">
      <c r="A212" s="19">
        <v>40422</v>
      </c>
      <c r="B212">
        <v>8.32</v>
      </c>
      <c r="C212">
        <v>4.13</v>
      </c>
      <c r="D212">
        <v>3.74</v>
      </c>
      <c r="E212">
        <v>2.4500000000000002</v>
      </c>
      <c r="G212" s="19">
        <v>40422</v>
      </c>
      <c r="H212">
        <v>1487.5</v>
      </c>
      <c r="I212">
        <v>364</v>
      </c>
      <c r="J212">
        <v>253.4</v>
      </c>
      <c r="K212">
        <v>115.15</v>
      </c>
    </row>
    <row r="213" spans="1:11">
      <c r="A213" s="19">
        <v>40431</v>
      </c>
      <c r="B213">
        <v>3.5</v>
      </c>
      <c r="C213">
        <v>3.56</v>
      </c>
      <c r="D213">
        <v>1.38</v>
      </c>
      <c r="E213">
        <v>1.46</v>
      </c>
      <c r="G213" s="19">
        <v>40431</v>
      </c>
      <c r="H213">
        <v>242.9</v>
      </c>
      <c r="I213">
        <v>217.7</v>
      </c>
      <c r="J213">
        <v>56.35</v>
      </c>
      <c r="K213">
        <v>64.05</v>
      </c>
    </row>
    <row r="214" spans="1:11">
      <c r="A214" s="19">
        <v>40438</v>
      </c>
      <c r="B214">
        <v>3.67</v>
      </c>
      <c r="C214">
        <v>3.72</v>
      </c>
      <c r="D214">
        <v>2.5099999999999998</v>
      </c>
      <c r="E214">
        <v>1.8</v>
      </c>
      <c r="G214" s="19">
        <v>40438</v>
      </c>
      <c r="H214">
        <v>275.8</v>
      </c>
      <c r="I214">
        <v>256.2</v>
      </c>
      <c r="J214">
        <v>112.35</v>
      </c>
      <c r="K214">
        <v>84</v>
      </c>
    </row>
    <row r="215" spans="1:11">
      <c r="A215" s="19">
        <v>40456</v>
      </c>
      <c r="B215">
        <v>2.4900000000000002</v>
      </c>
      <c r="C215">
        <v>2.19</v>
      </c>
      <c r="D215">
        <v>2.5499999999999998</v>
      </c>
      <c r="E215">
        <v>2.46</v>
      </c>
      <c r="G215" s="19">
        <v>40456</v>
      </c>
      <c r="H215">
        <v>81.2</v>
      </c>
      <c r="I215">
        <v>78.05</v>
      </c>
      <c r="J215">
        <v>88.2</v>
      </c>
      <c r="K215">
        <v>131.94999999999999</v>
      </c>
    </row>
    <row r="216" spans="1:11" s="66" customFormat="1">
      <c r="A216" s="19">
        <v>40549</v>
      </c>
      <c r="B216" s="66">
        <v>2.5499999999999998</v>
      </c>
      <c r="C216" s="66">
        <v>4.1399999999999997</v>
      </c>
      <c r="D216" s="66">
        <v>0.8</v>
      </c>
      <c r="E216" s="39"/>
      <c r="G216" s="19">
        <v>40549</v>
      </c>
      <c r="H216" s="66">
        <v>63.35</v>
      </c>
      <c r="I216" s="66">
        <v>66.5</v>
      </c>
      <c r="J216" s="66">
        <v>20.3</v>
      </c>
      <c r="K216" s="39"/>
    </row>
    <row r="217" spans="1:11" s="66" customFormat="1">
      <c r="A217" s="19">
        <v>40566</v>
      </c>
      <c r="B217" s="66">
        <v>6.26</v>
      </c>
      <c r="C217" s="66">
        <v>6.37</v>
      </c>
      <c r="D217" s="66">
        <v>3.82</v>
      </c>
      <c r="E217" s="66">
        <v>1.92</v>
      </c>
      <c r="G217" s="19">
        <v>40566</v>
      </c>
      <c r="H217" s="66">
        <v>371</v>
      </c>
      <c r="I217" s="66">
        <v>117.8</v>
      </c>
      <c r="J217" s="66">
        <v>98</v>
      </c>
      <c r="K217" s="66">
        <v>69.3</v>
      </c>
    </row>
    <row r="218" spans="1:11" s="66" customFormat="1">
      <c r="A218" s="19">
        <v>40586</v>
      </c>
      <c r="B218" s="66">
        <v>4.95</v>
      </c>
      <c r="C218" s="66">
        <v>7.09</v>
      </c>
      <c r="D218" s="66">
        <v>2.21</v>
      </c>
      <c r="E218" s="66">
        <v>1.72</v>
      </c>
      <c r="G218" s="19">
        <v>40586</v>
      </c>
      <c r="H218" s="66">
        <v>172.9</v>
      </c>
      <c r="I218" s="66">
        <v>227.2</v>
      </c>
      <c r="J218" s="66">
        <v>67.55</v>
      </c>
      <c r="K218" s="66">
        <v>60.9</v>
      </c>
    </row>
    <row r="219" spans="1:11" s="81" customFormat="1">
      <c r="A219" s="19">
        <v>40639</v>
      </c>
      <c r="B219" s="81">
        <v>2.27</v>
      </c>
      <c r="C219" s="81">
        <v>1.28</v>
      </c>
      <c r="D219" s="81">
        <v>0.97</v>
      </c>
      <c r="E219" s="78"/>
      <c r="G219" s="19">
        <v>40639</v>
      </c>
      <c r="H219" s="81">
        <v>51.8</v>
      </c>
      <c r="I219" s="81">
        <v>57.05</v>
      </c>
      <c r="J219" s="81">
        <v>32.9</v>
      </c>
    </row>
    <row r="220" spans="1:11" s="81" customFormat="1">
      <c r="A220" s="19">
        <v>40679</v>
      </c>
      <c r="B220" s="81">
        <v>3.75</v>
      </c>
      <c r="C220" s="81">
        <v>1.69</v>
      </c>
      <c r="D220" s="81">
        <v>3.08</v>
      </c>
      <c r="E220" s="78"/>
      <c r="G220" s="19">
        <v>40679</v>
      </c>
      <c r="H220" s="81">
        <v>74.900000000000006</v>
      </c>
      <c r="I220" s="81">
        <v>54.95</v>
      </c>
      <c r="J220" s="81">
        <v>81.55</v>
      </c>
      <c r="K220" s="39"/>
    </row>
    <row r="222" spans="1:11">
      <c r="A222" t="s">
        <v>23</v>
      </c>
      <c r="B222" t="s">
        <v>58</v>
      </c>
      <c r="C222" t="s">
        <v>59</v>
      </c>
      <c r="D222" t="s">
        <v>61</v>
      </c>
      <c r="E222" t="s">
        <v>60</v>
      </c>
      <c r="G222" t="s">
        <v>23</v>
      </c>
      <c r="H222" t="s">
        <v>58</v>
      </c>
      <c r="I222" t="s">
        <v>59</v>
      </c>
      <c r="J222" t="s">
        <v>61</v>
      </c>
      <c r="K222" t="s">
        <v>60</v>
      </c>
    </row>
    <row r="223" spans="1:11">
      <c r="A223" s="19">
        <v>40336</v>
      </c>
      <c r="B223">
        <v>5.26</v>
      </c>
      <c r="C223">
        <v>4.7699999999999996</v>
      </c>
      <c r="D223">
        <v>3.81</v>
      </c>
      <c r="E223" s="39"/>
      <c r="G223" s="19">
        <v>40336</v>
      </c>
      <c r="H223">
        <v>413</v>
      </c>
      <c r="I223">
        <v>248.5</v>
      </c>
      <c r="J223">
        <v>245.7</v>
      </c>
      <c r="K223" s="39"/>
    </row>
    <row r="224" spans="1:11">
      <c r="A224" s="19">
        <v>40379</v>
      </c>
      <c r="B224">
        <v>4.4400000000000004</v>
      </c>
      <c r="C224">
        <v>4.4800000000000004</v>
      </c>
      <c r="D224">
        <v>3.28</v>
      </c>
      <c r="E224">
        <v>2.48</v>
      </c>
      <c r="G224" s="19">
        <v>40379</v>
      </c>
      <c r="H224">
        <v>284.2</v>
      </c>
      <c r="I224">
        <v>347.2</v>
      </c>
      <c r="J224">
        <v>224</v>
      </c>
      <c r="K224">
        <v>146.65</v>
      </c>
    </row>
    <row r="225" spans="1:11">
      <c r="A225" s="19">
        <v>40389</v>
      </c>
      <c r="B225">
        <v>5.42</v>
      </c>
      <c r="C225">
        <v>4.72</v>
      </c>
      <c r="D225">
        <v>3.08</v>
      </c>
      <c r="E225">
        <v>1.64</v>
      </c>
      <c r="G225" s="19">
        <v>40389</v>
      </c>
      <c r="H225">
        <v>259.35000000000002</v>
      </c>
      <c r="I225">
        <v>287</v>
      </c>
      <c r="J225">
        <v>183.4</v>
      </c>
      <c r="K225">
        <v>90.3</v>
      </c>
    </row>
    <row r="226" spans="1:11">
      <c r="A226" s="19">
        <v>40401</v>
      </c>
      <c r="B226">
        <v>5.07</v>
      </c>
      <c r="C226">
        <v>3.62</v>
      </c>
      <c r="D226">
        <v>2.62</v>
      </c>
      <c r="E226">
        <v>1.73</v>
      </c>
      <c r="G226" s="19">
        <v>40401</v>
      </c>
      <c r="H226">
        <v>305.89999999999998</v>
      </c>
      <c r="I226">
        <v>202.3</v>
      </c>
      <c r="J226">
        <v>146.30000000000001</v>
      </c>
      <c r="K226">
        <v>69.3</v>
      </c>
    </row>
    <row r="227" spans="1:11">
      <c r="A227" s="19">
        <v>40410</v>
      </c>
      <c r="B227">
        <v>4.71</v>
      </c>
      <c r="C227">
        <v>4.7</v>
      </c>
      <c r="D227">
        <v>4.22</v>
      </c>
      <c r="E227">
        <v>2.93</v>
      </c>
      <c r="G227" s="19">
        <v>40410</v>
      </c>
      <c r="H227">
        <v>228.2</v>
      </c>
      <c r="I227">
        <v>328.3</v>
      </c>
      <c r="J227">
        <v>287</v>
      </c>
      <c r="K227">
        <v>185.5</v>
      </c>
    </row>
    <row r="228" spans="1:11">
      <c r="A228" s="19">
        <v>40422</v>
      </c>
      <c r="B228">
        <v>7.07</v>
      </c>
      <c r="C228">
        <v>3.53</v>
      </c>
      <c r="D228">
        <v>3.81</v>
      </c>
      <c r="E228">
        <v>1.93</v>
      </c>
      <c r="G228" s="19">
        <v>40422</v>
      </c>
      <c r="H228">
        <v>1274</v>
      </c>
      <c r="I228">
        <v>465.5</v>
      </c>
      <c r="J228">
        <v>307.3</v>
      </c>
      <c r="K228">
        <v>134.75</v>
      </c>
    </row>
    <row r="229" spans="1:11">
      <c r="A229" s="19">
        <v>40431</v>
      </c>
      <c r="B229">
        <v>3.88</v>
      </c>
      <c r="C229">
        <v>1.74</v>
      </c>
      <c r="D229">
        <v>1.84</v>
      </c>
      <c r="E229">
        <v>2.34</v>
      </c>
      <c r="G229" s="19">
        <v>40431</v>
      </c>
      <c r="H229">
        <v>271.60000000000002</v>
      </c>
      <c r="I229">
        <v>83.65</v>
      </c>
      <c r="J229">
        <v>79.099999999999994</v>
      </c>
      <c r="K229">
        <v>108.85</v>
      </c>
    </row>
    <row r="230" spans="1:11">
      <c r="A230" s="19">
        <v>40438</v>
      </c>
      <c r="B230">
        <v>4.3499999999999996</v>
      </c>
      <c r="C230">
        <v>4.0999999999999996</v>
      </c>
      <c r="D230">
        <v>3.48</v>
      </c>
      <c r="E230">
        <v>2.08</v>
      </c>
      <c r="G230" s="19">
        <v>40438</v>
      </c>
      <c r="H230">
        <v>293.3</v>
      </c>
      <c r="I230">
        <v>267.39999999999998</v>
      </c>
      <c r="J230">
        <v>214.9</v>
      </c>
      <c r="K230">
        <v>101.15</v>
      </c>
    </row>
    <row r="231" spans="1:11" s="66" customFormat="1">
      <c r="A231" s="19">
        <v>40549</v>
      </c>
      <c r="B231" s="66">
        <v>6.58</v>
      </c>
      <c r="C231" s="66">
        <v>7.39</v>
      </c>
      <c r="D231" s="66">
        <v>4.6100000000000003</v>
      </c>
      <c r="E231" s="66">
        <v>3.89</v>
      </c>
      <c r="G231" s="19">
        <v>40549</v>
      </c>
      <c r="H231" s="66">
        <v>462</v>
      </c>
      <c r="I231" s="66">
        <v>133.35</v>
      </c>
      <c r="J231" s="66">
        <v>314.3</v>
      </c>
      <c r="K231" s="66">
        <v>89.25</v>
      </c>
    </row>
    <row r="232" spans="1:11" s="66" customFormat="1">
      <c r="A232" s="19">
        <v>40586</v>
      </c>
      <c r="B232" s="66">
        <v>5.14</v>
      </c>
      <c r="C232" s="66">
        <v>3.65</v>
      </c>
      <c r="D232" s="66">
        <v>3.55</v>
      </c>
      <c r="E232" s="66">
        <v>2.46</v>
      </c>
      <c r="G232" s="19">
        <v>40586</v>
      </c>
      <c r="H232" s="66">
        <v>3.85</v>
      </c>
      <c r="I232" s="66">
        <v>4.2</v>
      </c>
      <c r="J232" s="66">
        <v>111.65</v>
      </c>
      <c r="K232" s="66">
        <v>86.8</v>
      </c>
    </row>
    <row r="233" spans="1:11" s="81" customFormat="1">
      <c r="A233" s="19">
        <v>40639</v>
      </c>
      <c r="B233" s="81">
        <v>1.22</v>
      </c>
      <c r="C233" s="81">
        <v>1.25</v>
      </c>
      <c r="D233" s="81">
        <v>1.04</v>
      </c>
      <c r="E233" s="78"/>
      <c r="G233" s="19">
        <v>40639</v>
      </c>
      <c r="H233" s="81">
        <v>28</v>
      </c>
      <c r="I233" s="81">
        <v>36.4</v>
      </c>
      <c r="J233" s="81">
        <v>33.950000000000003</v>
      </c>
      <c r="K233" s="78"/>
    </row>
    <row r="234" spans="1:11" s="81" customFormat="1">
      <c r="A234" s="19">
        <v>40679</v>
      </c>
      <c r="B234" s="81">
        <v>5</v>
      </c>
      <c r="C234" s="81">
        <v>3.05</v>
      </c>
      <c r="D234" s="81">
        <v>2.94</v>
      </c>
      <c r="E234" s="39"/>
      <c r="G234" s="19">
        <v>40679</v>
      </c>
      <c r="H234" s="81">
        <v>378</v>
      </c>
      <c r="I234" s="81">
        <v>171.15</v>
      </c>
      <c r="J234" s="81">
        <v>184.1</v>
      </c>
      <c r="K234" s="39"/>
    </row>
    <row r="236" spans="1:11">
      <c r="A236" t="s">
        <v>23</v>
      </c>
      <c r="B236" t="s">
        <v>62</v>
      </c>
      <c r="C236" t="s">
        <v>63</v>
      </c>
      <c r="D236" t="s">
        <v>64</v>
      </c>
      <c r="E236" t="s">
        <v>65</v>
      </c>
      <c r="G236" t="s">
        <v>23</v>
      </c>
      <c r="H236" t="s">
        <v>62</v>
      </c>
      <c r="I236" t="s">
        <v>66</v>
      </c>
      <c r="J236" t="s">
        <v>64</v>
      </c>
      <c r="K236" t="s">
        <v>65</v>
      </c>
    </row>
    <row r="237" spans="1:11">
      <c r="A237" s="19">
        <v>40379</v>
      </c>
      <c r="B237">
        <v>2.95</v>
      </c>
      <c r="C237">
        <v>5.34</v>
      </c>
      <c r="D237">
        <v>2.35</v>
      </c>
      <c r="E237">
        <v>1.19</v>
      </c>
      <c r="G237" s="19">
        <v>40379</v>
      </c>
      <c r="H237">
        <v>106.4</v>
      </c>
      <c r="I237">
        <v>113.4</v>
      </c>
      <c r="J237">
        <v>141.75</v>
      </c>
      <c r="K237">
        <v>54.95</v>
      </c>
    </row>
    <row r="238" spans="1:11">
      <c r="A238" s="19">
        <v>40389</v>
      </c>
      <c r="B238">
        <v>1.29</v>
      </c>
      <c r="C238">
        <v>2.74</v>
      </c>
      <c r="D238">
        <v>4.47</v>
      </c>
      <c r="E238">
        <v>1.35</v>
      </c>
      <c r="G238" s="19">
        <v>40389</v>
      </c>
      <c r="H238">
        <v>101.5</v>
      </c>
      <c r="I238">
        <v>130.9</v>
      </c>
      <c r="J238">
        <v>371</v>
      </c>
      <c r="K238">
        <v>89.25</v>
      </c>
    </row>
    <row r="239" spans="1:11">
      <c r="A239" s="19">
        <v>40401</v>
      </c>
      <c r="B239" s="78"/>
      <c r="C239" s="78"/>
      <c r="D239" s="78"/>
      <c r="E239" s="78"/>
      <c r="G239" s="19">
        <v>40401</v>
      </c>
      <c r="H239" s="78"/>
      <c r="I239" s="78"/>
      <c r="J239" s="78"/>
      <c r="K239" s="78"/>
    </row>
    <row r="240" spans="1:11">
      <c r="A240" s="19">
        <v>40410</v>
      </c>
      <c r="B240">
        <v>4.3600000000000003</v>
      </c>
      <c r="C240">
        <v>1.77</v>
      </c>
      <c r="D240">
        <v>1.04</v>
      </c>
      <c r="E240">
        <v>1.05</v>
      </c>
      <c r="G240" s="19">
        <v>40410</v>
      </c>
      <c r="H240">
        <v>203</v>
      </c>
      <c r="I240">
        <v>71.75</v>
      </c>
      <c r="J240">
        <v>36.75</v>
      </c>
      <c r="K240">
        <v>40.25</v>
      </c>
    </row>
    <row r="241" spans="1:11">
      <c r="A241" s="19">
        <v>40422</v>
      </c>
      <c r="B241">
        <v>2.5099999999999998</v>
      </c>
      <c r="C241">
        <v>2.39</v>
      </c>
      <c r="D241">
        <v>1.37</v>
      </c>
      <c r="E241">
        <v>1.43</v>
      </c>
      <c r="G241" s="19">
        <v>40422</v>
      </c>
      <c r="H241">
        <v>153.30000000000001</v>
      </c>
      <c r="I241">
        <v>148.05000000000001</v>
      </c>
      <c r="J241">
        <v>100.1</v>
      </c>
      <c r="K241">
        <v>80.849999999999994</v>
      </c>
    </row>
    <row r="242" spans="1:11" s="66" customFormat="1">
      <c r="A242" s="19">
        <v>40549</v>
      </c>
      <c r="B242" s="76">
        <v>4.25</v>
      </c>
      <c r="C242" s="76">
        <v>3.62</v>
      </c>
      <c r="D242" s="76">
        <v>1.34</v>
      </c>
      <c r="E242" s="78"/>
      <c r="G242" s="19">
        <v>40549</v>
      </c>
      <c r="H242" s="76">
        <v>97.65</v>
      </c>
      <c r="I242" s="76">
        <v>59.5</v>
      </c>
      <c r="J242" s="76">
        <v>30.45</v>
      </c>
      <c r="K242" s="78"/>
    </row>
    <row r="243" spans="1:11" s="66" customFormat="1">
      <c r="A243" s="19">
        <v>40566</v>
      </c>
      <c r="B243" s="76">
        <v>7.34</v>
      </c>
      <c r="C243" s="76">
        <v>11.2</v>
      </c>
      <c r="D243" s="76">
        <v>4.1100000000000003</v>
      </c>
      <c r="E243" s="76">
        <v>2.2400000000000002</v>
      </c>
      <c r="G243" s="19">
        <v>40566</v>
      </c>
      <c r="H243" s="76">
        <v>483</v>
      </c>
      <c r="I243" s="76">
        <v>224.35</v>
      </c>
      <c r="J243" s="76">
        <v>94.5</v>
      </c>
      <c r="K243" s="76">
        <v>62.3</v>
      </c>
    </row>
    <row r="244" spans="1:11" s="66" customFormat="1">
      <c r="A244" s="19">
        <v>40586</v>
      </c>
      <c r="B244" s="76">
        <v>4.18</v>
      </c>
      <c r="C244" s="76">
        <v>6.53</v>
      </c>
      <c r="D244" s="76">
        <v>1.84</v>
      </c>
      <c r="E244" s="76">
        <v>1.38</v>
      </c>
      <c r="G244" s="19">
        <v>40586</v>
      </c>
      <c r="H244" s="76">
        <v>306.60000000000002</v>
      </c>
      <c r="I244" s="76">
        <v>120.75</v>
      </c>
      <c r="J244" s="76">
        <v>77.7</v>
      </c>
      <c r="K244" s="76">
        <v>52.85</v>
      </c>
    </row>
    <row r="245" spans="1:11" s="81" customFormat="1">
      <c r="A245" s="19">
        <v>40632</v>
      </c>
      <c r="B245" s="76">
        <v>1.56</v>
      </c>
      <c r="C245" s="76">
        <v>0.8</v>
      </c>
      <c r="D245" s="76">
        <v>0.78</v>
      </c>
      <c r="E245" s="78"/>
      <c r="G245" s="19">
        <v>40632</v>
      </c>
      <c r="H245" s="76">
        <v>80.150000000000006</v>
      </c>
      <c r="I245" s="76">
        <v>14.7</v>
      </c>
      <c r="J245" s="76">
        <v>18.2</v>
      </c>
      <c r="K245" s="78"/>
    </row>
    <row r="246" spans="1:11" s="81" customFormat="1">
      <c r="A246" s="19">
        <v>40673</v>
      </c>
      <c r="B246" s="76">
        <v>3.58</v>
      </c>
      <c r="C246" s="76">
        <v>4.32</v>
      </c>
      <c r="D246" s="76">
        <v>1.32</v>
      </c>
      <c r="E246" s="78"/>
      <c r="G246" s="19">
        <v>40673</v>
      </c>
      <c r="H246" s="76">
        <v>208.6</v>
      </c>
      <c r="I246" s="76">
        <v>77</v>
      </c>
      <c r="J246" s="76">
        <v>46.55</v>
      </c>
      <c r="K246" s="78"/>
    </row>
    <row r="248" spans="1:11">
      <c r="A248" t="s">
        <v>23</v>
      </c>
      <c r="B248" t="s">
        <v>67</v>
      </c>
      <c r="C248" t="s">
        <v>68</v>
      </c>
      <c r="D248" t="s">
        <v>69</v>
      </c>
      <c r="E248" t="s">
        <v>70</v>
      </c>
      <c r="G248" t="s">
        <v>23</v>
      </c>
      <c r="H248" t="s">
        <v>67</v>
      </c>
      <c r="I248" t="s">
        <v>68</v>
      </c>
      <c r="J248" t="s">
        <v>69</v>
      </c>
      <c r="K248" t="s">
        <v>70</v>
      </c>
    </row>
    <row r="249" spans="1:11">
      <c r="A249" s="19">
        <v>40379</v>
      </c>
      <c r="B249">
        <v>4.88</v>
      </c>
      <c r="C249">
        <v>3.22</v>
      </c>
      <c r="D249">
        <v>3.59</v>
      </c>
      <c r="E249">
        <v>1.41</v>
      </c>
      <c r="G249" s="19">
        <v>40379</v>
      </c>
      <c r="H249">
        <v>242.55</v>
      </c>
      <c r="I249">
        <v>118.3</v>
      </c>
      <c r="J249">
        <v>219.1</v>
      </c>
      <c r="K249">
        <v>103.95</v>
      </c>
    </row>
    <row r="250" spans="1:11">
      <c r="A250" s="19">
        <v>40389</v>
      </c>
      <c r="B250">
        <v>6.02</v>
      </c>
      <c r="C250">
        <v>4.63</v>
      </c>
      <c r="D250">
        <v>3.67</v>
      </c>
      <c r="E250">
        <v>2.23</v>
      </c>
      <c r="G250" s="19">
        <v>40389</v>
      </c>
      <c r="H250">
        <v>682.5</v>
      </c>
      <c r="I250">
        <v>409.5</v>
      </c>
      <c r="J250">
        <v>232.4</v>
      </c>
      <c r="K250">
        <v>193.2</v>
      </c>
    </row>
    <row r="251" spans="1:11">
      <c r="A251" s="19">
        <v>40401</v>
      </c>
      <c r="B251">
        <v>4.05</v>
      </c>
      <c r="C251">
        <v>1.92</v>
      </c>
      <c r="D251">
        <v>1.96</v>
      </c>
      <c r="E251">
        <v>1.58</v>
      </c>
      <c r="G251" s="19">
        <v>40401</v>
      </c>
      <c r="H251">
        <v>188.3</v>
      </c>
      <c r="I251">
        <v>97.3</v>
      </c>
      <c r="J251">
        <v>92.5</v>
      </c>
      <c r="K251">
        <v>78.400000000000006</v>
      </c>
    </row>
    <row r="252" spans="1:11">
      <c r="A252" s="19">
        <v>40410</v>
      </c>
      <c r="B252">
        <v>4.68</v>
      </c>
      <c r="C252">
        <v>3.33</v>
      </c>
      <c r="D252">
        <v>2.11</v>
      </c>
      <c r="E252">
        <v>1.26</v>
      </c>
      <c r="G252" s="19">
        <v>40410</v>
      </c>
      <c r="H252">
        <v>212.1</v>
      </c>
      <c r="I252">
        <v>156.80000000000001</v>
      </c>
      <c r="J252">
        <v>94.85</v>
      </c>
      <c r="K252">
        <v>63.7</v>
      </c>
    </row>
    <row r="253" spans="1:11">
      <c r="A253" s="19">
        <v>40422</v>
      </c>
      <c r="B253">
        <v>2.48</v>
      </c>
      <c r="C253">
        <v>1.18</v>
      </c>
      <c r="D253">
        <v>1.1599999999999999</v>
      </c>
      <c r="E253">
        <v>1.25</v>
      </c>
      <c r="G253" s="19">
        <v>40422</v>
      </c>
      <c r="H253">
        <v>170.45</v>
      </c>
      <c r="I253">
        <v>60.9</v>
      </c>
      <c r="J253">
        <v>58.45</v>
      </c>
      <c r="K253">
        <v>67.900000000000006</v>
      </c>
    </row>
    <row r="254" spans="1:11" s="66" customFormat="1">
      <c r="A254" s="19">
        <v>40549</v>
      </c>
      <c r="B254" s="76">
        <v>7.09</v>
      </c>
      <c r="C254" s="76">
        <v>4.72</v>
      </c>
      <c r="D254" s="76">
        <v>3.68</v>
      </c>
      <c r="E254" s="76"/>
      <c r="G254" s="19">
        <v>40549</v>
      </c>
      <c r="H254" s="76">
        <v>514.5</v>
      </c>
      <c r="I254" s="76">
        <v>113.4</v>
      </c>
      <c r="J254" s="76">
        <v>33.950000000000003</v>
      </c>
      <c r="K254" s="76"/>
    </row>
    <row r="255" spans="1:11" s="66" customFormat="1">
      <c r="A255" s="19">
        <v>40566</v>
      </c>
      <c r="B255" s="76">
        <v>5.56</v>
      </c>
      <c r="C255" s="76">
        <v>5.76</v>
      </c>
      <c r="D255" s="76">
        <v>4.63</v>
      </c>
      <c r="E255" s="76">
        <v>2.4</v>
      </c>
      <c r="G255" s="19">
        <v>40566</v>
      </c>
      <c r="H255" s="76">
        <v>303.60000000000002</v>
      </c>
      <c r="I255" s="76">
        <v>348.25</v>
      </c>
      <c r="J255" s="76">
        <v>307.64999999999998</v>
      </c>
      <c r="K255" s="76">
        <v>108.85</v>
      </c>
    </row>
    <row r="256" spans="1:11" s="66" customFormat="1">
      <c r="A256" s="19">
        <v>40586</v>
      </c>
      <c r="B256" s="76">
        <v>4.84</v>
      </c>
      <c r="C256" s="76">
        <v>4.99</v>
      </c>
      <c r="D256" s="76">
        <v>1.9</v>
      </c>
      <c r="E256" s="76">
        <v>2.2999999999999998</v>
      </c>
      <c r="G256" s="19">
        <v>40586</v>
      </c>
      <c r="H256" s="76">
        <v>249.55</v>
      </c>
      <c r="I256" s="76">
        <v>233.8</v>
      </c>
      <c r="J256" s="76">
        <v>72.099999999999994</v>
      </c>
      <c r="K256" s="76">
        <v>116.2</v>
      </c>
    </row>
    <row r="257" spans="1:11" s="81" customFormat="1">
      <c r="A257" s="19">
        <v>40632</v>
      </c>
      <c r="B257" s="76">
        <v>0.39</v>
      </c>
      <c r="C257" s="76">
        <v>0.91</v>
      </c>
      <c r="D257" s="76">
        <v>0.68</v>
      </c>
      <c r="E257" s="78"/>
      <c r="G257" s="19">
        <v>40632</v>
      </c>
      <c r="H257" s="76">
        <v>7.7</v>
      </c>
      <c r="I257" s="76">
        <v>16.45</v>
      </c>
      <c r="J257" s="76">
        <v>5.25</v>
      </c>
      <c r="K257" s="78"/>
    </row>
    <row r="258" spans="1:11" s="81" customFormat="1">
      <c r="A258" s="19">
        <v>40673</v>
      </c>
      <c r="B258" s="76">
        <v>6.19</v>
      </c>
      <c r="C258" s="76">
        <v>2.78</v>
      </c>
      <c r="D258" s="76">
        <v>1.73</v>
      </c>
      <c r="E258" s="39"/>
      <c r="G258" s="19">
        <v>40673</v>
      </c>
      <c r="H258" s="76">
        <v>190.75</v>
      </c>
      <c r="I258" s="76">
        <v>165.9</v>
      </c>
      <c r="J258" s="76">
        <v>97.65</v>
      </c>
      <c r="K258" s="39"/>
    </row>
    <row r="260" spans="1:11">
      <c r="A260" t="s">
        <v>23</v>
      </c>
      <c r="B260" t="s">
        <v>71</v>
      </c>
      <c r="C260" t="s">
        <v>72</v>
      </c>
      <c r="D260" t="s">
        <v>73</v>
      </c>
      <c r="E260" t="s">
        <v>74</v>
      </c>
      <c r="G260" t="s">
        <v>23</v>
      </c>
      <c r="H260" t="s">
        <v>71</v>
      </c>
      <c r="I260" t="s">
        <v>72</v>
      </c>
      <c r="J260" t="s">
        <v>73</v>
      </c>
      <c r="K260" t="s">
        <v>74</v>
      </c>
    </row>
    <row r="261" spans="1:11">
      <c r="A261" s="19">
        <v>40379</v>
      </c>
      <c r="B261">
        <v>4.8</v>
      </c>
      <c r="C261">
        <v>3.32</v>
      </c>
      <c r="D261">
        <v>3.52</v>
      </c>
      <c r="E261">
        <v>1.76</v>
      </c>
      <c r="G261" s="19">
        <v>40379</v>
      </c>
      <c r="H261">
        <v>236.25</v>
      </c>
      <c r="I261">
        <v>181.3</v>
      </c>
      <c r="J261">
        <v>166.6</v>
      </c>
      <c r="K261">
        <v>73.849999999999994</v>
      </c>
    </row>
    <row r="262" spans="1:11">
      <c r="A262" s="19">
        <v>40389</v>
      </c>
      <c r="B262">
        <v>3.53</v>
      </c>
      <c r="C262">
        <v>1.55</v>
      </c>
      <c r="D262">
        <v>1.73</v>
      </c>
      <c r="E262">
        <v>1</v>
      </c>
      <c r="G262" s="19">
        <v>40389</v>
      </c>
      <c r="H262">
        <v>189.7</v>
      </c>
      <c r="I262">
        <v>74.55</v>
      </c>
      <c r="J262">
        <v>107.1</v>
      </c>
      <c r="K262">
        <v>51.45</v>
      </c>
    </row>
    <row r="263" spans="1:11">
      <c r="A263" s="19">
        <v>40401</v>
      </c>
      <c r="B263">
        <v>3.21</v>
      </c>
      <c r="C263">
        <v>1.32</v>
      </c>
      <c r="D263" s="39"/>
      <c r="E263">
        <v>1.2</v>
      </c>
      <c r="G263" s="19">
        <v>40401</v>
      </c>
      <c r="H263">
        <v>199.15</v>
      </c>
      <c r="I263">
        <v>55.3</v>
      </c>
      <c r="J263" s="39"/>
      <c r="K263">
        <v>55.65</v>
      </c>
    </row>
    <row r="264" spans="1:11">
      <c r="A264" s="19">
        <v>40410</v>
      </c>
      <c r="B264">
        <v>4.99</v>
      </c>
      <c r="C264" s="39"/>
      <c r="D264">
        <v>3.95</v>
      </c>
      <c r="E264">
        <v>2.76</v>
      </c>
      <c r="G264" s="19">
        <v>40410</v>
      </c>
      <c r="H264">
        <v>310.8</v>
      </c>
      <c r="I264" s="39"/>
      <c r="J264">
        <v>195.3</v>
      </c>
      <c r="K264">
        <v>165.9</v>
      </c>
    </row>
    <row r="265" spans="1:11">
      <c r="A265" s="19">
        <v>40422</v>
      </c>
      <c r="B265">
        <v>2.73</v>
      </c>
      <c r="C265">
        <v>3.06</v>
      </c>
      <c r="D265">
        <v>2.97</v>
      </c>
      <c r="E265">
        <v>2.17</v>
      </c>
      <c r="G265" s="19">
        <v>40422</v>
      </c>
      <c r="H265">
        <v>117.45</v>
      </c>
      <c r="I265">
        <v>212.45</v>
      </c>
      <c r="J265">
        <v>252</v>
      </c>
      <c r="K265">
        <v>167.3</v>
      </c>
    </row>
    <row r="266" spans="1:11">
      <c r="A266" s="19">
        <v>40431</v>
      </c>
      <c r="B266">
        <v>3.08</v>
      </c>
      <c r="C266">
        <v>2.0699999999999998</v>
      </c>
      <c r="D266">
        <v>2.48</v>
      </c>
      <c r="E266">
        <v>1.48</v>
      </c>
      <c r="G266" s="19">
        <v>40431</v>
      </c>
      <c r="H266">
        <v>245.7</v>
      </c>
      <c r="I266">
        <v>121.8</v>
      </c>
      <c r="J266">
        <v>88.55</v>
      </c>
      <c r="K266">
        <v>87.5</v>
      </c>
    </row>
    <row r="267" spans="1:11">
      <c r="A267" s="19">
        <v>40438</v>
      </c>
      <c r="B267" s="77">
        <v>1.4</v>
      </c>
      <c r="C267" s="77">
        <v>1.51</v>
      </c>
      <c r="D267" s="77">
        <v>1.67</v>
      </c>
      <c r="E267" s="77">
        <v>1.54</v>
      </c>
      <c r="G267" s="19">
        <v>40438</v>
      </c>
      <c r="H267" s="77">
        <v>36.4</v>
      </c>
      <c r="I267" s="77">
        <v>95.2</v>
      </c>
      <c r="J267" s="77">
        <v>77.349999999999994</v>
      </c>
      <c r="K267" s="77">
        <v>80.5</v>
      </c>
    </row>
    <row r="269" spans="1:11">
      <c r="A269" t="s">
        <v>23</v>
      </c>
      <c r="B269" t="s">
        <v>75</v>
      </c>
      <c r="C269" t="s">
        <v>76</v>
      </c>
      <c r="D269" t="s">
        <v>77</v>
      </c>
      <c r="E269" t="s">
        <v>78</v>
      </c>
      <c r="G269" t="s">
        <v>23</v>
      </c>
      <c r="H269" t="s">
        <v>75</v>
      </c>
      <c r="I269" t="s">
        <v>76</v>
      </c>
      <c r="J269" t="s">
        <v>77</v>
      </c>
      <c r="K269" t="s">
        <v>78</v>
      </c>
    </row>
    <row r="270" spans="1:11">
      <c r="A270" s="19">
        <v>40379</v>
      </c>
      <c r="B270">
        <v>2.19</v>
      </c>
      <c r="C270">
        <v>1.33</v>
      </c>
      <c r="D270">
        <v>1.67</v>
      </c>
      <c r="E270">
        <v>1.19</v>
      </c>
      <c r="G270" s="19">
        <v>40379</v>
      </c>
      <c r="H270">
        <v>43.75</v>
      </c>
      <c r="I270">
        <v>70.349999999999994</v>
      </c>
      <c r="J270">
        <v>76.3</v>
      </c>
      <c r="K270">
        <v>87.5</v>
      </c>
    </row>
    <row r="271" spans="1:11">
      <c r="A271" s="19">
        <v>40389</v>
      </c>
      <c r="B271">
        <v>4.68</v>
      </c>
      <c r="C271">
        <v>3.08</v>
      </c>
      <c r="D271">
        <v>1.2</v>
      </c>
      <c r="E271">
        <v>1.02</v>
      </c>
      <c r="G271" s="19">
        <v>40389</v>
      </c>
      <c r="H271">
        <v>210</v>
      </c>
      <c r="I271">
        <v>218.4</v>
      </c>
      <c r="J271">
        <v>78.5</v>
      </c>
      <c r="K271">
        <v>53.55</v>
      </c>
    </row>
    <row r="272" spans="1:11">
      <c r="A272" s="19">
        <v>40401</v>
      </c>
      <c r="B272">
        <v>1.47</v>
      </c>
      <c r="C272">
        <v>1.0900000000000001</v>
      </c>
      <c r="D272">
        <v>1.2</v>
      </c>
      <c r="E272">
        <v>1.17</v>
      </c>
      <c r="G272" s="19">
        <v>40401</v>
      </c>
      <c r="H272">
        <v>66.150000000000006</v>
      </c>
      <c r="I272">
        <v>48.3</v>
      </c>
      <c r="J272">
        <v>52.85</v>
      </c>
      <c r="K272">
        <v>51.45</v>
      </c>
    </row>
    <row r="273" spans="1:11">
      <c r="A273" s="19">
        <v>40410</v>
      </c>
      <c r="B273">
        <v>5.04</v>
      </c>
      <c r="C273">
        <v>1.21</v>
      </c>
      <c r="D273">
        <v>1.86</v>
      </c>
      <c r="E273">
        <v>1.32</v>
      </c>
      <c r="G273" s="19">
        <v>40410</v>
      </c>
      <c r="H273">
        <v>302.39999999999998</v>
      </c>
      <c r="I273">
        <v>57.05</v>
      </c>
      <c r="J273">
        <v>95.55</v>
      </c>
      <c r="K273">
        <v>63.35</v>
      </c>
    </row>
    <row r="274" spans="1:11">
      <c r="A274" s="19">
        <v>40417</v>
      </c>
      <c r="G274" s="19">
        <v>40417</v>
      </c>
    </row>
    <row r="275" spans="1:11">
      <c r="A275" s="19">
        <v>40422</v>
      </c>
      <c r="B275">
        <v>2.46</v>
      </c>
      <c r="C275">
        <v>2.33</v>
      </c>
      <c r="D275">
        <v>2.64</v>
      </c>
      <c r="E275">
        <v>1.17</v>
      </c>
      <c r="G275" s="19">
        <v>40422</v>
      </c>
      <c r="H275">
        <v>171.5</v>
      </c>
      <c r="I275">
        <v>146.30000000000001</v>
      </c>
      <c r="J275">
        <v>167.65</v>
      </c>
      <c r="K275">
        <v>72.45</v>
      </c>
    </row>
    <row r="276" spans="1:11">
      <c r="A276" s="19">
        <v>40431</v>
      </c>
      <c r="B276">
        <v>1.1399999999999999</v>
      </c>
      <c r="C276">
        <v>1.27</v>
      </c>
      <c r="D276">
        <v>1.82</v>
      </c>
      <c r="E276">
        <v>3.34</v>
      </c>
      <c r="G276" s="19">
        <v>40431</v>
      </c>
      <c r="H276">
        <v>33.25</v>
      </c>
      <c r="I276">
        <v>34.65</v>
      </c>
      <c r="J276">
        <v>87.15</v>
      </c>
      <c r="K276">
        <v>284.89999999999998</v>
      </c>
    </row>
    <row r="277" spans="1:11">
      <c r="A277" s="19">
        <v>40438</v>
      </c>
      <c r="B277">
        <v>1.57</v>
      </c>
      <c r="C277">
        <v>6.7</v>
      </c>
      <c r="D277">
        <v>1.31</v>
      </c>
      <c r="E277">
        <v>1.27</v>
      </c>
      <c r="G277" s="19">
        <v>40438</v>
      </c>
      <c r="H277">
        <v>58.1</v>
      </c>
      <c r="I277">
        <v>44.1</v>
      </c>
      <c r="J277">
        <v>41.3</v>
      </c>
      <c r="K277">
        <v>50.05</v>
      </c>
    </row>
    <row r="279" spans="1:11">
      <c r="A279" s="66" t="s">
        <v>23</v>
      </c>
      <c r="B279" s="66" t="s">
        <v>130</v>
      </c>
      <c r="C279" s="66" t="s">
        <v>131</v>
      </c>
      <c r="D279" s="66" t="s">
        <v>132</v>
      </c>
      <c r="E279" s="66" t="s">
        <v>133</v>
      </c>
      <c r="G279" s="66" t="s">
        <v>23</v>
      </c>
      <c r="H279" s="66" t="s">
        <v>130</v>
      </c>
      <c r="I279" s="66" t="s">
        <v>131</v>
      </c>
      <c r="J279" s="66" t="s">
        <v>132</v>
      </c>
      <c r="K279" s="66" t="s">
        <v>133</v>
      </c>
    </row>
    <row r="280" spans="1:11">
      <c r="A280" s="19">
        <v>40550</v>
      </c>
      <c r="B280">
        <v>1.28</v>
      </c>
      <c r="C280">
        <v>2.1800000000000002</v>
      </c>
      <c r="D280">
        <v>2.31</v>
      </c>
      <c r="E280" s="78"/>
      <c r="G280" s="19">
        <v>40550</v>
      </c>
      <c r="H280" s="66">
        <v>9.8000000000000007</v>
      </c>
      <c r="I280" s="66">
        <v>5.25</v>
      </c>
      <c r="J280" s="66">
        <v>3.85</v>
      </c>
      <c r="K280" s="78"/>
    </row>
    <row r="281" spans="1:11">
      <c r="A281" s="19">
        <v>40566</v>
      </c>
      <c r="B281">
        <v>2.98</v>
      </c>
      <c r="C281">
        <v>16.100000000000001</v>
      </c>
      <c r="D281">
        <v>6.02</v>
      </c>
      <c r="E281">
        <v>2.08</v>
      </c>
      <c r="G281" s="19">
        <v>40566</v>
      </c>
      <c r="H281" s="66">
        <v>62.65</v>
      </c>
      <c r="I281" s="66">
        <v>75.599999999999994</v>
      </c>
      <c r="J281" s="66">
        <v>66.150000000000006</v>
      </c>
      <c r="K281" s="66">
        <v>33.950000000000003</v>
      </c>
    </row>
    <row r="282" spans="1:11">
      <c r="A282" s="19">
        <v>40586</v>
      </c>
      <c r="B282">
        <v>4.12</v>
      </c>
      <c r="C282">
        <v>8.42</v>
      </c>
      <c r="D282">
        <v>3.16</v>
      </c>
      <c r="E282">
        <v>1.98</v>
      </c>
      <c r="G282" s="19">
        <v>40586</v>
      </c>
      <c r="H282" s="66">
        <v>97.3</v>
      </c>
      <c r="I282" s="66">
        <v>71.05</v>
      </c>
      <c r="J282" s="66">
        <v>59.15</v>
      </c>
      <c r="K282" s="66">
        <v>47.25</v>
      </c>
    </row>
    <row r="283" spans="1:11" s="66" customFormat="1">
      <c r="A283" s="19">
        <v>40598</v>
      </c>
      <c r="B283" s="66">
        <v>2.4900000000000002</v>
      </c>
      <c r="C283" s="66">
        <v>3.04</v>
      </c>
      <c r="D283" s="66">
        <v>3.87</v>
      </c>
      <c r="E283" s="78"/>
      <c r="G283" s="19">
        <v>40598</v>
      </c>
      <c r="H283" s="66">
        <v>34.299999999999997</v>
      </c>
      <c r="I283" s="66">
        <v>43.4</v>
      </c>
      <c r="J283" s="66">
        <v>57.4</v>
      </c>
      <c r="K283" s="78"/>
    </row>
    <row r="284" spans="1:11" s="81" customFormat="1">
      <c r="A284" s="19">
        <v>40631</v>
      </c>
      <c r="B284" s="81">
        <v>0.76</v>
      </c>
      <c r="C284" s="81">
        <v>0.82</v>
      </c>
      <c r="D284" s="81">
        <v>0.69</v>
      </c>
      <c r="E284" s="78"/>
      <c r="G284" s="19">
        <v>40631</v>
      </c>
      <c r="H284" s="81">
        <v>7.7</v>
      </c>
      <c r="I284" s="81">
        <v>11.9</v>
      </c>
      <c r="J284" s="81">
        <v>24.5</v>
      </c>
      <c r="K284" s="78"/>
    </row>
    <row r="285" spans="1:11" s="81" customFormat="1">
      <c r="A285" s="19">
        <v>40672</v>
      </c>
      <c r="B285" s="81">
        <v>3.4</v>
      </c>
      <c r="C285" s="81">
        <v>1.84</v>
      </c>
      <c r="D285" s="81">
        <v>1.82</v>
      </c>
      <c r="E285" s="78"/>
      <c r="G285" s="19">
        <v>40672</v>
      </c>
      <c r="H285" s="81">
        <v>86.8</v>
      </c>
      <c r="I285" s="81">
        <v>63.7</v>
      </c>
      <c r="J285" s="81">
        <v>53.9</v>
      </c>
      <c r="K285" s="78"/>
    </row>
    <row r="287" spans="1:11">
      <c r="A287" s="66" t="s">
        <v>23</v>
      </c>
      <c r="B287" s="66" t="s">
        <v>134</v>
      </c>
      <c r="C287" s="66" t="s">
        <v>135</v>
      </c>
      <c r="D287" s="66" t="s">
        <v>136</v>
      </c>
      <c r="E287" s="66" t="s">
        <v>137</v>
      </c>
      <c r="G287" s="66" t="s">
        <v>23</v>
      </c>
      <c r="H287" s="66" t="s">
        <v>134</v>
      </c>
      <c r="I287" s="66" t="s">
        <v>135</v>
      </c>
      <c r="J287" s="66" t="s">
        <v>136</v>
      </c>
      <c r="K287" s="66" t="s">
        <v>137</v>
      </c>
    </row>
    <row r="288" spans="1:11">
      <c r="A288" s="19">
        <v>40550</v>
      </c>
      <c r="B288" s="66">
        <v>2.93</v>
      </c>
      <c r="C288" s="66">
        <v>3.23</v>
      </c>
      <c r="D288" s="66">
        <v>2.67</v>
      </c>
      <c r="E288" s="78"/>
      <c r="G288" s="19">
        <v>40550</v>
      </c>
      <c r="H288" s="66">
        <v>57.4</v>
      </c>
      <c r="I288" s="66">
        <v>42.7</v>
      </c>
      <c r="J288" s="66">
        <v>33.25</v>
      </c>
      <c r="K288" s="78"/>
    </row>
    <row r="289" spans="1:11">
      <c r="A289" s="19">
        <v>40566</v>
      </c>
      <c r="B289" s="66">
        <v>3.32</v>
      </c>
      <c r="C289" s="66">
        <v>3.59</v>
      </c>
      <c r="D289" s="66">
        <v>4.26</v>
      </c>
      <c r="E289" s="66">
        <v>3.76</v>
      </c>
      <c r="G289" s="19">
        <v>40566</v>
      </c>
      <c r="H289" s="66">
        <v>53.9</v>
      </c>
      <c r="I289" s="66">
        <v>55.3</v>
      </c>
      <c r="J289" s="66">
        <v>36.4</v>
      </c>
      <c r="K289" s="66">
        <v>29.05</v>
      </c>
    </row>
    <row r="290" spans="1:11">
      <c r="A290" s="19">
        <v>40586</v>
      </c>
      <c r="B290" s="66">
        <v>3.53</v>
      </c>
      <c r="C290" s="66">
        <v>3.41</v>
      </c>
      <c r="D290" s="66">
        <v>2.64</v>
      </c>
      <c r="E290" s="66">
        <v>2.39</v>
      </c>
      <c r="G290" s="19">
        <v>40586</v>
      </c>
      <c r="H290" s="66">
        <v>82.6</v>
      </c>
      <c r="I290" s="66">
        <v>71.75</v>
      </c>
      <c r="J290" s="66">
        <v>57.05</v>
      </c>
      <c r="K290" s="66">
        <v>35.700000000000003</v>
      </c>
    </row>
    <row r="291" spans="1:11">
      <c r="A291" s="19">
        <v>40598</v>
      </c>
      <c r="B291">
        <v>1.97</v>
      </c>
      <c r="C291">
        <v>16.7</v>
      </c>
      <c r="D291">
        <v>2.41</v>
      </c>
      <c r="E291" s="78"/>
      <c r="G291" s="19">
        <v>40598</v>
      </c>
      <c r="H291">
        <v>27.65</v>
      </c>
      <c r="I291">
        <v>81.900000000000006</v>
      </c>
      <c r="J291">
        <v>57.05</v>
      </c>
      <c r="K291" s="78"/>
    </row>
    <row r="292" spans="1:11" s="81" customFormat="1">
      <c r="A292" s="19">
        <v>40631</v>
      </c>
      <c r="B292" s="81">
        <v>1.4</v>
      </c>
      <c r="C292" s="81">
        <v>0.54</v>
      </c>
      <c r="D292" s="81">
        <v>0.84</v>
      </c>
      <c r="E292" s="78"/>
      <c r="G292" s="19">
        <v>40631</v>
      </c>
      <c r="H292" s="81">
        <v>8.4</v>
      </c>
      <c r="I292" s="81">
        <v>8.0500000000000007</v>
      </c>
      <c r="J292" s="81">
        <v>28</v>
      </c>
      <c r="K292" s="78"/>
    </row>
    <row r="293" spans="1:11" s="81" customFormat="1">
      <c r="A293" s="19">
        <v>40672</v>
      </c>
      <c r="B293" s="81">
        <v>4.1500000000000004</v>
      </c>
      <c r="C293" s="81">
        <v>5.49</v>
      </c>
      <c r="D293" s="81">
        <v>3.67</v>
      </c>
      <c r="E293" s="78"/>
      <c r="G293" s="19">
        <v>40672</v>
      </c>
      <c r="H293" s="81">
        <v>206.5</v>
      </c>
      <c r="I293" s="81">
        <v>164.5</v>
      </c>
      <c r="J293" s="81">
        <v>120.4</v>
      </c>
      <c r="K293" s="78"/>
    </row>
    <row r="295" spans="1:11" s="81" customFormat="1">
      <c r="A295" s="81" t="s">
        <v>23</v>
      </c>
      <c r="B295" s="81" t="s">
        <v>146</v>
      </c>
      <c r="C295" s="81" t="s">
        <v>147</v>
      </c>
      <c r="D295" s="81" t="s">
        <v>148</v>
      </c>
      <c r="E295" s="81" t="s">
        <v>149</v>
      </c>
      <c r="G295" s="81" t="s">
        <v>23</v>
      </c>
      <c r="H295" s="81" t="s">
        <v>146</v>
      </c>
      <c r="I295" s="81" t="s">
        <v>147</v>
      </c>
      <c r="J295" s="81" t="s">
        <v>148</v>
      </c>
      <c r="K295" s="81" t="s">
        <v>149</v>
      </c>
    </row>
    <row r="296" spans="1:11" s="81" customFormat="1">
      <c r="A296" s="19">
        <v>40550</v>
      </c>
      <c r="B296" s="81">
        <v>3.3</v>
      </c>
      <c r="C296" s="81">
        <v>3.46</v>
      </c>
      <c r="D296" s="81">
        <v>3.82</v>
      </c>
      <c r="E296" s="78"/>
      <c r="G296" s="19">
        <v>40550</v>
      </c>
      <c r="H296" s="81">
        <v>13.3</v>
      </c>
      <c r="I296" s="81">
        <v>16.100000000000001</v>
      </c>
      <c r="J296" s="81">
        <v>39.200000000000003</v>
      </c>
      <c r="K296" s="78"/>
    </row>
    <row r="297" spans="1:11" s="81" customFormat="1">
      <c r="A297" s="19">
        <v>40566</v>
      </c>
      <c r="G297" s="19">
        <v>40566</v>
      </c>
    </row>
    <row r="298" spans="1:11" s="81" customFormat="1">
      <c r="A298" s="19">
        <v>40586</v>
      </c>
      <c r="B298" s="81">
        <v>5.46</v>
      </c>
      <c r="C298" s="81">
        <v>5.34</v>
      </c>
      <c r="D298" s="81">
        <v>4.33</v>
      </c>
      <c r="E298" s="81">
        <v>4.4000000000000004</v>
      </c>
      <c r="G298" s="19">
        <v>40586</v>
      </c>
      <c r="H298" s="81">
        <v>175.35</v>
      </c>
      <c r="I298" s="81">
        <v>142.1</v>
      </c>
      <c r="J298" s="81">
        <v>78.75</v>
      </c>
      <c r="K298" s="81">
        <v>72.8</v>
      </c>
    </row>
    <row r="299" spans="1:11" s="81" customFormat="1">
      <c r="A299" s="19">
        <v>40672</v>
      </c>
      <c r="B299" s="81">
        <v>4.5999999999999996</v>
      </c>
      <c r="C299" s="81">
        <v>4.22</v>
      </c>
      <c r="D299" s="81">
        <v>3.92</v>
      </c>
      <c r="E299" s="39"/>
      <c r="G299" s="19">
        <v>40672</v>
      </c>
      <c r="H299" s="81">
        <v>213.5</v>
      </c>
      <c r="I299" s="81">
        <v>199.5</v>
      </c>
      <c r="J299" s="81">
        <v>61.6</v>
      </c>
      <c r="K299" s="39"/>
    </row>
    <row r="300" spans="1:11" s="81" customFormat="1"/>
    <row r="301" spans="1:11" s="81" customFormat="1">
      <c r="A301" s="81" t="s">
        <v>23</v>
      </c>
      <c r="B301" s="81" t="s">
        <v>150</v>
      </c>
      <c r="C301" s="81" t="s">
        <v>151</v>
      </c>
      <c r="D301" s="81" t="s">
        <v>152</v>
      </c>
      <c r="E301" s="81" t="s">
        <v>153</v>
      </c>
      <c r="G301" s="81" t="s">
        <v>23</v>
      </c>
      <c r="H301" s="81" t="s">
        <v>150</v>
      </c>
      <c r="I301" s="81" t="s">
        <v>151</v>
      </c>
      <c r="J301" s="81" t="s">
        <v>152</v>
      </c>
      <c r="K301" s="81" t="s">
        <v>153</v>
      </c>
    </row>
    <row r="302" spans="1:11" s="81" customFormat="1">
      <c r="A302" s="19">
        <v>40550</v>
      </c>
      <c r="B302" s="81">
        <v>3.66</v>
      </c>
      <c r="C302" s="81">
        <v>3.64</v>
      </c>
      <c r="D302" s="81">
        <v>4.0599999999999996</v>
      </c>
      <c r="E302" s="78"/>
      <c r="G302" s="19">
        <v>40550</v>
      </c>
      <c r="H302" s="81">
        <v>39.200000000000003</v>
      </c>
      <c r="I302" s="81">
        <v>15.4</v>
      </c>
      <c r="J302" s="81">
        <v>57.4</v>
      </c>
      <c r="K302" s="78"/>
    </row>
    <row r="303" spans="1:11" s="81" customFormat="1">
      <c r="A303" s="19">
        <v>40566</v>
      </c>
      <c r="G303" s="19">
        <v>40566</v>
      </c>
    </row>
    <row r="304" spans="1:11" s="81" customFormat="1">
      <c r="A304" s="19">
        <v>40586</v>
      </c>
      <c r="B304" s="81">
        <v>3.56</v>
      </c>
      <c r="C304" s="81">
        <v>3.66</v>
      </c>
      <c r="D304" s="81">
        <v>3.9</v>
      </c>
      <c r="E304" s="81">
        <v>4.0999999999999996</v>
      </c>
      <c r="G304" s="19">
        <v>40586</v>
      </c>
      <c r="H304" s="81">
        <v>54.95</v>
      </c>
      <c r="I304" s="81">
        <v>54.25</v>
      </c>
      <c r="J304" s="81">
        <v>46.55</v>
      </c>
      <c r="K304" s="81">
        <v>63.35</v>
      </c>
    </row>
    <row r="305" spans="1:11" s="81" customFormat="1">
      <c r="A305" s="19">
        <v>40672</v>
      </c>
      <c r="B305" s="81">
        <v>3.69</v>
      </c>
      <c r="C305" s="81">
        <v>4.03</v>
      </c>
      <c r="D305" s="81">
        <v>3.69</v>
      </c>
      <c r="E305" s="39"/>
      <c r="G305" s="19">
        <v>40672</v>
      </c>
      <c r="H305" s="81">
        <v>108.5</v>
      </c>
      <c r="I305" s="81">
        <v>184.8</v>
      </c>
      <c r="J305" s="81">
        <v>126</v>
      </c>
      <c r="K305" s="39"/>
    </row>
    <row r="306" spans="1:11" s="81" customFormat="1"/>
    <row r="307" spans="1:11">
      <c r="A307" s="66" t="s">
        <v>23</v>
      </c>
      <c r="B307" s="66" t="s">
        <v>126</v>
      </c>
      <c r="C307" s="66" t="s">
        <v>127</v>
      </c>
      <c r="D307" s="66" t="s">
        <v>128</v>
      </c>
      <c r="E307" s="66" t="s">
        <v>129</v>
      </c>
      <c r="G307" s="66" t="s">
        <v>23</v>
      </c>
      <c r="H307" s="66" t="s">
        <v>126</v>
      </c>
      <c r="I307" s="66" t="s">
        <v>127</v>
      </c>
      <c r="J307" s="66" t="s">
        <v>128</v>
      </c>
      <c r="K307" s="66" t="s">
        <v>129</v>
      </c>
    </row>
    <row r="308" spans="1:11">
      <c r="A308" s="19">
        <v>40516</v>
      </c>
      <c r="B308">
        <v>0.9</v>
      </c>
      <c r="C308">
        <v>1.49</v>
      </c>
      <c r="D308">
        <v>1.92</v>
      </c>
      <c r="E308" s="78"/>
      <c r="G308" s="19">
        <v>40516</v>
      </c>
      <c r="H308" s="66">
        <v>16.45</v>
      </c>
      <c r="I308" s="66">
        <v>50.4</v>
      </c>
      <c r="J308" s="66">
        <v>93.45</v>
      </c>
      <c r="K308" s="78"/>
    </row>
    <row r="309" spans="1:11">
      <c r="A309" s="19">
        <v>40552</v>
      </c>
      <c r="B309">
        <v>0.53</v>
      </c>
      <c r="C309">
        <v>0.59</v>
      </c>
      <c r="D309">
        <v>0.53</v>
      </c>
      <c r="E309" s="78"/>
      <c r="G309" s="19">
        <v>40552</v>
      </c>
      <c r="H309" s="66">
        <v>13.65</v>
      </c>
      <c r="I309" s="66">
        <v>17.5</v>
      </c>
      <c r="J309" s="66">
        <v>10.5</v>
      </c>
      <c r="K309" s="78"/>
    </row>
    <row r="310" spans="1:11">
      <c r="A310" s="19">
        <v>40580</v>
      </c>
      <c r="B310">
        <v>0.56999999999999995</v>
      </c>
      <c r="C310">
        <v>0.6</v>
      </c>
      <c r="D310">
        <v>0.59</v>
      </c>
      <c r="E310">
        <v>0.65</v>
      </c>
      <c r="G310" s="19">
        <v>40580</v>
      </c>
      <c r="H310" s="66">
        <v>16.45</v>
      </c>
      <c r="I310" s="66">
        <v>17.5</v>
      </c>
      <c r="J310" s="66">
        <v>18.55</v>
      </c>
      <c r="K310" s="66">
        <v>18.899999999999999</v>
      </c>
    </row>
    <row r="311" spans="1:11" s="81" customFormat="1">
      <c r="A311" s="19">
        <v>40650</v>
      </c>
      <c r="B311" s="81">
        <v>0.56000000000000005</v>
      </c>
      <c r="C311" s="81">
        <v>0.57999999999999996</v>
      </c>
      <c r="D311" s="81">
        <v>0.55000000000000004</v>
      </c>
      <c r="E311" s="78"/>
      <c r="G311" s="19">
        <v>40650</v>
      </c>
      <c r="H311" s="81">
        <v>13.65</v>
      </c>
      <c r="I311" s="81">
        <v>10.15</v>
      </c>
      <c r="J311" s="81">
        <v>12.25</v>
      </c>
      <c r="K311" s="78"/>
    </row>
    <row r="312" spans="1:11" s="81" customFormat="1">
      <c r="A312" s="19">
        <v>40704</v>
      </c>
      <c r="B312" s="81">
        <v>1.1200000000000001</v>
      </c>
      <c r="C312" s="81">
        <v>0.93</v>
      </c>
      <c r="D312" s="81">
        <v>1</v>
      </c>
      <c r="E312" s="78"/>
      <c r="G312" s="19">
        <v>40704</v>
      </c>
      <c r="H312" s="81">
        <v>77.7</v>
      </c>
      <c r="I312" s="81">
        <v>66.849999999999994</v>
      </c>
      <c r="J312" s="81">
        <v>59.5</v>
      </c>
      <c r="K312" s="78"/>
    </row>
    <row r="314" spans="1:11" s="81" customFormat="1">
      <c r="A314" s="81" t="s">
        <v>23</v>
      </c>
      <c r="B314" s="81" t="s">
        <v>156</v>
      </c>
      <c r="C314" s="81" t="s">
        <v>157</v>
      </c>
      <c r="D314" s="81" t="s">
        <v>158</v>
      </c>
      <c r="E314" s="81" t="s">
        <v>159</v>
      </c>
      <c r="G314" s="81" t="s">
        <v>23</v>
      </c>
      <c r="H314" s="81" t="s">
        <v>156</v>
      </c>
      <c r="I314" s="81" t="s">
        <v>157</v>
      </c>
      <c r="J314" s="81" t="s">
        <v>158</v>
      </c>
      <c r="K314" s="81" t="s">
        <v>159</v>
      </c>
    </row>
    <row r="315" spans="1:11" s="81" customFormat="1">
      <c r="A315" s="19">
        <v>40497</v>
      </c>
      <c r="B315" s="81">
        <v>1.58</v>
      </c>
      <c r="C315" s="78"/>
      <c r="D315" s="78"/>
      <c r="E315" s="78"/>
      <c r="G315" s="19">
        <v>40497</v>
      </c>
      <c r="H315" s="81">
        <v>35.700000000000003</v>
      </c>
      <c r="I315" s="78"/>
      <c r="J315" s="78"/>
      <c r="K315" s="78"/>
    </row>
    <row r="316" spans="1:11" s="81" customFormat="1">
      <c r="A316" s="19">
        <v>40497</v>
      </c>
      <c r="B316" s="81">
        <v>1.31</v>
      </c>
      <c r="C316" s="78"/>
      <c r="D316" s="78"/>
      <c r="E316" s="78"/>
      <c r="G316" s="19">
        <v>40497</v>
      </c>
      <c r="H316" s="81">
        <v>42</v>
      </c>
      <c r="I316" s="78"/>
      <c r="J316" s="78"/>
      <c r="K316" s="78"/>
    </row>
    <row r="317" spans="1:11" s="81" customFormat="1">
      <c r="A317" s="19"/>
      <c r="G317" s="19"/>
    </row>
    <row r="318" spans="1:11" s="81" customFormat="1">
      <c r="A318" s="81" t="s">
        <v>23</v>
      </c>
      <c r="B318" s="81" t="s">
        <v>161</v>
      </c>
      <c r="C318" s="81" t="s">
        <v>162</v>
      </c>
      <c r="D318" s="81" t="s">
        <v>163</v>
      </c>
      <c r="E318" s="81" t="s">
        <v>164</v>
      </c>
      <c r="G318" s="81" t="s">
        <v>23</v>
      </c>
      <c r="H318" s="81" t="s">
        <v>161</v>
      </c>
      <c r="I318" s="81" t="s">
        <v>162</v>
      </c>
      <c r="J318" s="81" t="s">
        <v>163</v>
      </c>
      <c r="K318" s="81" t="s">
        <v>164</v>
      </c>
    </row>
    <row r="319" spans="1:11" s="81" customFormat="1">
      <c r="A319" s="19">
        <v>40516</v>
      </c>
      <c r="B319" s="81">
        <v>2.5299999999999998</v>
      </c>
      <c r="C319" s="81">
        <v>2.17</v>
      </c>
      <c r="D319" s="81">
        <v>1.57</v>
      </c>
      <c r="E319" s="78"/>
      <c r="G319" s="19">
        <v>40516</v>
      </c>
      <c r="H319" s="81">
        <v>26.6</v>
      </c>
      <c r="I319" s="81">
        <v>47.95</v>
      </c>
      <c r="J319" s="81">
        <v>28.7</v>
      </c>
      <c r="K319" s="78"/>
    </row>
    <row r="320" spans="1:11" s="81" customFormat="1">
      <c r="A320" s="19">
        <v>40552</v>
      </c>
      <c r="B320" s="81">
        <v>1.03</v>
      </c>
      <c r="C320" s="81">
        <v>1.02</v>
      </c>
      <c r="D320" s="81">
        <v>1.28</v>
      </c>
      <c r="E320" s="81">
        <v>1.26</v>
      </c>
      <c r="G320" s="19">
        <v>40552</v>
      </c>
      <c r="H320" s="81">
        <v>9.4499999999999993</v>
      </c>
      <c r="I320" s="81">
        <v>11.55</v>
      </c>
      <c r="J320" s="81">
        <v>15.75</v>
      </c>
      <c r="K320" s="81">
        <v>20.65</v>
      </c>
    </row>
    <row r="321" spans="1:11" s="81" customFormat="1">
      <c r="A321" s="19">
        <v>40580</v>
      </c>
      <c r="B321" s="81">
        <v>1.4</v>
      </c>
      <c r="C321" s="81">
        <v>0.96</v>
      </c>
      <c r="D321" s="81">
        <v>0.93</v>
      </c>
      <c r="E321" s="81">
        <v>1.04</v>
      </c>
      <c r="G321" s="19">
        <v>40580</v>
      </c>
      <c r="H321" s="81">
        <v>27.65</v>
      </c>
      <c r="I321" s="81">
        <v>19.25</v>
      </c>
      <c r="J321" s="81">
        <v>17.850000000000001</v>
      </c>
      <c r="K321" s="81">
        <v>25.55</v>
      </c>
    </row>
    <row r="322" spans="1:11" s="81" customFormat="1">
      <c r="A322" s="19">
        <v>40650</v>
      </c>
      <c r="B322" s="81">
        <v>1.52</v>
      </c>
      <c r="C322" s="81">
        <v>1.27</v>
      </c>
      <c r="D322" s="81">
        <v>1.0900000000000001</v>
      </c>
      <c r="E322" s="78"/>
      <c r="G322" s="19">
        <v>40650</v>
      </c>
      <c r="H322" s="81">
        <v>69.650000000000006</v>
      </c>
      <c r="I322" s="81">
        <v>59.5</v>
      </c>
      <c r="J322" s="81">
        <v>46.9</v>
      </c>
      <c r="K322" s="78"/>
    </row>
    <row r="323" spans="1:11" s="81" customFormat="1">
      <c r="A323" s="19">
        <v>40704</v>
      </c>
      <c r="B323" s="81">
        <v>1.99</v>
      </c>
      <c r="C323" s="81">
        <v>2.16</v>
      </c>
      <c r="D323" s="81">
        <v>1.88</v>
      </c>
      <c r="E323" s="78"/>
      <c r="G323" s="19">
        <v>40704</v>
      </c>
      <c r="H323" s="81">
        <v>127.05</v>
      </c>
      <c r="I323" s="81">
        <v>128.80000000000001</v>
      </c>
      <c r="J323" s="81">
        <v>123.9</v>
      </c>
      <c r="K323" s="78"/>
    </row>
    <row r="325" spans="1:11" s="81" customFormat="1">
      <c r="A325" s="81" t="s">
        <v>23</v>
      </c>
      <c r="B325" s="81" t="s">
        <v>166</v>
      </c>
      <c r="C325" s="81" t="s">
        <v>167</v>
      </c>
      <c r="D325" s="81" t="s">
        <v>168</v>
      </c>
      <c r="E325" s="81" t="s">
        <v>169</v>
      </c>
      <c r="G325" s="81" t="s">
        <v>23</v>
      </c>
      <c r="H325" s="81" t="s">
        <v>166</v>
      </c>
      <c r="I325" s="81" t="s">
        <v>167</v>
      </c>
      <c r="J325" s="81" t="s">
        <v>168</v>
      </c>
      <c r="K325" s="81" t="s">
        <v>169</v>
      </c>
    </row>
    <row r="326" spans="1:11" s="81" customFormat="1">
      <c r="A326" s="19">
        <v>40516</v>
      </c>
      <c r="B326" s="81">
        <v>2.2999999999999998</v>
      </c>
      <c r="C326" s="81">
        <v>2.2000000000000002</v>
      </c>
      <c r="D326" s="81">
        <v>1.79</v>
      </c>
      <c r="E326" s="78"/>
      <c r="G326" s="19">
        <v>40516</v>
      </c>
      <c r="H326" s="81">
        <v>30.45</v>
      </c>
      <c r="I326" s="81">
        <v>26.95</v>
      </c>
      <c r="J326" s="81">
        <v>25.2</v>
      </c>
      <c r="K326" s="78"/>
    </row>
    <row r="327" spans="1:11" s="81" customFormat="1">
      <c r="A327" s="19">
        <v>40552</v>
      </c>
      <c r="B327" s="81">
        <v>2.16</v>
      </c>
      <c r="C327" s="81">
        <v>1.91</v>
      </c>
      <c r="D327" s="81">
        <v>1.56</v>
      </c>
      <c r="E327" s="81">
        <v>1.67</v>
      </c>
      <c r="G327" s="19">
        <v>40552</v>
      </c>
      <c r="H327" s="81">
        <v>24.15</v>
      </c>
      <c r="I327" s="81">
        <v>19.25</v>
      </c>
      <c r="J327" s="81">
        <v>18.899999999999999</v>
      </c>
      <c r="K327" s="81">
        <v>20.65</v>
      </c>
    </row>
    <row r="328" spans="1:11" s="81" customFormat="1">
      <c r="A328" s="19">
        <v>40580</v>
      </c>
      <c r="B328" s="81">
        <v>1.28</v>
      </c>
      <c r="C328" s="81">
        <v>1.04</v>
      </c>
      <c r="D328" s="81">
        <v>1.1100000000000001</v>
      </c>
      <c r="E328" s="81">
        <v>1.41</v>
      </c>
      <c r="G328" s="19">
        <v>40580</v>
      </c>
      <c r="H328" s="81">
        <v>32.549999999999997</v>
      </c>
      <c r="I328" s="81">
        <v>31.85</v>
      </c>
      <c r="J328" s="81">
        <v>25.9</v>
      </c>
      <c r="K328" s="81">
        <v>28.35</v>
      </c>
    </row>
    <row r="329" spans="1:11">
      <c r="A329" s="19">
        <v>40650</v>
      </c>
      <c r="B329" s="81">
        <v>1.24</v>
      </c>
      <c r="C329" s="81">
        <v>1.07</v>
      </c>
      <c r="D329" s="81">
        <v>1.1100000000000001</v>
      </c>
      <c r="E329" s="78"/>
      <c r="G329" s="19">
        <v>40650</v>
      </c>
      <c r="H329" s="81">
        <v>35.35</v>
      </c>
      <c r="I329" s="81">
        <v>36.75</v>
      </c>
      <c r="J329" s="81">
        <v>44.45</v>
      </c>
      <c r="K329" s="78"/>
    </row>
    <row r="330" spans="1:11" s="81" customFormat="1">
      <c r="A330" s="124">
        <v>40704</v>
      </c>
      <c r="B330" s="81">
        <v>2.35</v>
      </c>
      <c r="C330" s="81">
        <v>1.29</v>
      </c>
      <c r="D330" s="81">
        <v>1.04</v>
      </c>
      <c r="E330" s="78"/>
      <c r="G330" s="19">
        <v>40704</v>
      </c>
      <c r="H330" s="81">
        <v>38.85</v>
      </c>
      <c r="I330" s="81">
        <v>43.4</v>
      </c>
      <c r="J330" s="81">
        <v>45.15</v>
      </c>
      <c r="K330" s="78"/>
    </row>
    <row r="332" spans="1:11" s="81" customFormat="1">
      <c r="A332" s="81" t="s">
        <v>23</v>
      </c>
      <c r="B332" s="81" t="s">
        <v>171</v>
      </c>
      <c r="C332" s="81" t="s">
        <v>172</v>
      </c>
      <c r="D332" s="81" t="s">
        <v>173</v>
      </c>
      <c r="E332" s="81" t="s">
        <v>174</v>
      </c>
      <c r="G332" s="81" t="s">
        <v>23</v>
      </c>
      <c r="H332" s="81" t="s">
        <v>171</v>
      </c>
      <c r="I332" s="81" t="s">
        <v>172</v>
      </c>
      <c r="J332" s="81" t="s">
        <v>175</v>
      </c>
      <c r="K332" s="81" t="s">
        <v>176</v>
      </c>
    </row>
    <row r="333" spans="1:11" s="81" customFormat="1">
      <c r="A333" s="19">
        <v>40516</v>
      </c>
      <c r="B333" s="81">
        <v>5.54</v>
      </c>
      <c r="C333" s="81">
        <v>2.65</v>
      </c>
      <c r="D333" s="81">
        <v>3.63</v>
      </c>
      <c r="E333" s="78"/>
      <c r="G333" s="19">
        <v>40516</v>
      </c>
      <c r="H333" s="81">
        <v>131.25</v>
      </c>
      <c r="I333" s="81">
        <v>137.9</v>
      </c>
      <c r="J333" s="81">
        <v>232.4</v>
      </c>
      <c r="K333" s="78"/>
    </row>
    <row r="334" spans="1:11" s="81" customFormat="1">
      <c r="A334" s="19">
        <v>40552</v>
      </c>
      <c r="B334" s="81">
        <v>4.76</v>
      </c>
      <c r="C334" s="81">
        <v>3.65</v>
      </c>
      <c r="D334" s="81">
        <v>3.78</v>
      </c>
      <c r="E334" s="81">
        <v>3.04</v>
      </c>
      <c r="G334" s="19">
        <v>40552</v>
      </c>
      <c r="H334" s="81">
        <v>93.1</v>
      </c>
      <c r="I334" s="81">
        <v>79.099999999999994</v>
      </c>
      <c r="J334" s="81">
        <v>126.7</v>
      </c>
      <c r="K334" s="81">
        <v>186.2</v>
      </c>
    </row>
    <row r="335" spans="1:11" s="81" customFormat="1">
      <c r="A335" s="19">
        <v>40580</v>
      </c>
      <c r="B335" s="81">
        <v>3.52</v>
      </c>
      <c r="C335" s="81">
        <v>3.75</v>
      </c>
      <c r="D335" s="81">
        <v>2.15</v>
      </c>
      <c r="E335" s="81">
        <v>2.5299999999999998</v>
      </c>
      <c r="G335" s="19">
        <v>40580</v>
      </c>
      <c r="H335" s="81">
        <v>76.3</v>
      </c>
      <c r="I335" s="81">
        <v>146.30000000000001</v>
      </c>
      <c r="J335" s="81">
        <v>105</v>
      </c>
      <c r="K335" s="81">
        <v>107.45</v>
      </c>
    </row>
    <row r="336" spans="1:11">
      <c r="A336" s="19">
        <v>40704</v>
      </c>
      <c r="B336">
        <v>4.33</v>
      </c>
      <c r="C336">
        <v>4.1399999999999997</v>
      </c>
      <c r="D336">
        <v>4.37</v>
      </c>
      <c r="E336" s="39"/>
      <c r="G336" s="19">
        <v>40704</v>
      </c>
      <c r="H336">
        <v>364</v>
      </c>
      <c r="I336">
        <v>360.5</v>
      </c>
      <c r="J336">
        <v>353.5</v>
      </c>
      <c r="K336" s="39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73"/>
  <sheetViews>
    <sheetView view="pageBreakPreview" zoomScale="70" zoomScaleNormal="85" zoomScaleSheetLayoutView="70" workbookViewId="0">
      <selection activeCell="P179" sqref="P179"/>
    </sheetView>
  </sheetViews>
  <sheetFormatPr defaultRowHeight="15"/>
  <cols>
    <col min="1" max="16384" width="9.140625" style="38"/>
  </cols>
  <sheetData>
    <row r="1" spans="1:13" ht="15" customHeight="1">
      <c r="A1" s="123" t="s">
        <v>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79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69" spans="1:13">
      <c r="A69" s="123" t="s">
        <v>80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103" spans="1:13">
      <c r="A103" s="123" t="s">
        <v>80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  <row r="137" spans="1:13">
      <c r="A137" s="123" t="s">
        <v>90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</row>
    <row r="138" spans="1:13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</row>
    <row r="139" spans="1:13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</row>
    <row r="171" spans="1:13">
      <c r="A171" s="123" t="s">
        <v>90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13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13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</sheetData>
  <mergeCells count="6">
    <mergeCell ref="A1:M3"/>
    <mergeCell ref="A69:M71"/>
    <mergeCell ref="A171:M173"/>
    <mergeCell ref="A35:M37"/>
    <mergeCell ref="A103:M105"/>
    <mergeCell ref="A137:M139"/>
  </mergeCells>
  <printOptions horizontalCentered="1"/>
  <pageMargins left="0.7" right="0.7" top="0.75" bottom="0.75" header="0.3" footer="0.3"/>
  <pageSetup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05"/>
  <sheetViews>
    <sheetView view="pageBreakPreview" zoomScale="60" zoomScaleNormal="70" workbookViewId="0">
      <selection activeCell="P179" sqref="P179"/>
    </sheetView>
  </sheetViews>
  <sheetFormatPr defaultRowHeight="15"/>
  <sheetData>
    <row r="1" spans="1:13">
      <c r="A1" s="123" t="s">
        <v>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 s="67" customFormat="1">
      <c r="A35" s="123" t="s">
        <v>81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 s="67" customForma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s="67" customForma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s="67" customFormat="1"/>
    <row r="39" spans="1:13" s="67" customFormat="1"/>
    <row r="40" spans="1:13" s="67" customFormat="1"/>
    <row r="41" spans="1:13" s="67" customFormat="1"/>
    <row r="42" spans="1:13" s="67" customFormat="1"/>
    <row r="43" spans="1:13" s="67" customFormat="1"/>
    <row r="44" spans="1:13" s="67" customFormat="1"/>
    <row r="45" spans="1:13" s="67" customFormat="1"/>
    <row r="46" spans="1:13" s="67" customFormat="1"/>
    <row r="47" spans="1:13" s="67" customFormat="1"/>
    <row r="48" spans="1:13" s="67" customFormat="1"/>
    <row r="49" s="67" customFormat="1"/>
    <row r="50" s="67" customFormat="1"/>
    <row r="51" s="67" customFormat="1"/>
    <row r="52" s="67" customFormat="1"/>
    <row r="53" s="67" customFormat="1"/>
    <row r="54" s="67" customFormat="1"/>
    <row r="55" s="67" customFormat="1"/>
    <row r="56" s="67" customFormat="1"/>
    <row r="57" s="67" customFormat="1"/>
    <row r="58" s="67" customFormat="1"/>
    <row r="59" s="67" customFormat="1"/>
    <row r="60" s="67" customFormat="1"/>
    <row r="61" s="67" customFormat="1"/>
    <row r="62" s="67" customFormat="1"/>
    <row r="63" s="67" customFormat="1"/>
    <row r="64" s="67" customFormat="1"/>
    <row r="65" spans="1:13" s="67" customFormat="1"/>
    <row r="66" spans="1:13" s="67" customFormat="1"/>
    <row r="67" spans="1:13" s="67" customFormat="1"/>
    <row r="68" spans="1:13" s="67" customFormat="1"/>
    <row r="69" spans="1:13" s="67" customFormat="1">
      <c r="A69" s="123" t="s">
        <v>82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 s="67" customForma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 s="67" customForma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13" s="67" customFormat="1"/>
    <row r="73" spans="1:13" s="67" customFormat="1"/>
    <row r="74" spans="1:13" s="67" customFormat="1"/>
    <row r="75" spans="1:13" s="67" customFormat="1"/>
    <row r="76" spans="1:13" s="67" customFormat="1"/>
    <row r="77" spans="1:13" s="67" customFormat="1"/>
    <row r="78" spans="1:13" s="67" customFormat="1"/>
    <row r="79" spans="1:13" s="67" customFormat="1"/>
    <row r="80" spans="1:13" s="67" customFormat="1"/>
    <row r="81" s="67" customFormat="1"/>
    <row r="82" s="67" customFormat="1"/>
    <row r="83" s="67" customFormat="1"/>
    <row r="84" s="67" customFormat="1"/>
    <row r="85" s="67" customFormat="1"/>
    <row r="86" s="67" customFormat="1"/>
    <row r="87" s="67" customFormat="1"/>
    <row r="88" s="67" customFormat="1"/>
    <row r="89" s="67" customFormat="1"/>
    <row r="90" s="67" customFormat="1"/>
    <row r="91" s="67" customFormat="1"/>
    <row r="92" s="67" customFormat="1"/>
    <row r="93" s="67" customFormat="1"/>
    <row r="94" s="67" customFormat="1"/>
    <row r="95" s="67" customFormat="1"/>
    <row r="96" s="67" customFormat="1"/>
    <row r="97" spans="1:13" s="67" customFormat="1"/>
    <row r="98" spans="1:13" s="67" customFormat="1"/>
    <row r="99" spans="1:13" s="67" customFormat="1"/>
    <row r="100" spans="1:13" s="67" customFormat="1"/>
    <row r="101" spans="1:13" s="67" customFormat="1"/>
    <row r="102" spans="1:13" s="67" customFormat="1"/>
    <row r="103" spans="1:13">
      <c r="A103" s="123" t="s">
        <v>82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</sheetData>
  <mergeCells count="4">
    <mergeCell ref="A1:M3"/>
    <mergeCell ref="A103:M105"/>
    <mergeCell ref="A35:M37"/>
    <mergeCell ref="A69:M71"/>
  </mergeCells>
  <pageMargins left="0.7" right="0.7" top="0.75" bottom="0.75" header="0.3" footer="0.3"/>
  <pageSetup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73"/>
  <sheetViews>
    <sheetView view="pageBreakPreview" zoomScale="60" zoomScaleNormal="70" workbookViewId="0">
      <selection activeCell="P179" sqref="P179"/>
    </sheetView>
  </sheetViews>
  <sheetFormatPr defaultRowHeight="15"/>
  <sheetData>
    <row r="1" spans="1:13">
      <c r="A1" s="123" t="s">
        <v>83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 s="81" customFormat="1">
      <c r="A35" s="123" t="s">
        <v>83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 s="81" customForma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s="81" customForma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s="81" customFormat="1"/>
    <row r="39" spans="1:13" s="81" customFormat="1"/>
    <row r="40" spans="1:13" s="81" customFormat="1"/>
    <row r="41" spans="1:13" s="81" customFormat="1"/>
    <row r="42" spans="1:13" s="81" customFormat="1"/>
    <row r="43" spans="1:13" s="81" customFormat="1"/>
    <row r="44" spans="1:13" s="81" customFormat="1"/>
    <row r="45" spans="1:13" s="81" customFormat="1"/>
    <row r="46" spans="1:13" s="81" customFormat="1"/>
    <row r="47" spans="1:13" s="81" customFormat="1"/>
    <row r="48" spans="1:13" s="81" customFormat="1"/>
    <row r="49" s="81" customFormat="1"/>
    <row r="50" s="81" customFormat="1"/>
    <row r="51" s="81" customFormat="1"/>
    <row r="52" s="81" customFormat="1"/>
    <row r="53" s="81" customFormat="1"/>
    <row r="54" s="81" customFormat="1"/>
    <row r="55" s="81" customFormat="1"/>
    <row r="56" s="81" customFormat="1"/>
    <row r="57" s="81" customFormat="1"/>
    <row r="58" s="81" customFormat="1"/>
    <row r="59" s="81" customFormat="1"/>
    <row r="60" s="81" customFormat="1"/>
    <row r="61" s="81" customFormat="1"/>
    <row r="62" s="81" customFormat="1"/>
    <row r="63" s="81" customFormat="1"/>
    <row r="64" s="81" customFormat="1"/>
    <row r="65" spans="1:13" s="81" customFormat="1"/>
    <row r="66" spans="1:13" s="81" customFormat="1"/>
    <row r="67" spans="1:13" s="81" customFormat="1"/>
    <row r="68" spans="1:13" s="81" customFormat="1"/>
    <row r="69" spans="1:13">
      <c r="A69" s="123" t="s">
        <v>84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103" spans="1:13" s="81" customFormat="1">
      <c r="A103" s="123" t="s">
        <v>84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 s="81" customForma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 s="81" customForma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  <row r="106" spans="1:13" s="81" customFormat="1"/>
    <row r="107" spans="1:13" s="81" customFormat="1"/>
    <row r="108" spans="1:13" s="81" customFormat="1"/>
    <row r="109" spans="1:13" s="81" customFormat="1"/>
    <row r="110" spans="1:13" s="81" customFormat="1"/>
    <row r="111" spans="1:13" s="81" customFormat="1"/>
    <row r="112" spans="1:13" s="81" customFormat="1"/>
    <row r="113" s="81" customFormat="1"/>
    <row r="114" s="81" customFormat="1"/>
    <row r="115" s="81" customFormat="1"/>
    <row r="116" s="81" customFormat="1"/>
    <row r="117" s="81" customFormat="1"/>
    <row r="118" s="81" customFormat="1"/>
    <row r="119" s="81" customFormat="1"/>
    <row r="120" s="81" customFormat="1"/>
    <row r="121" s="81" customFormat="1"/>
    <row r="122" s="81" customFormat="1"/>
    <row r="123" s="81" customFormat="1"/>
    <row r="124" s="81" customFormat="1"/>
    <row r="125" s="81" customFormat="1"/>
    <row r="126" s="81" customFormat="1"/>
    <row r="127" s="81" customFormat="1"/>
    <row r="128" s="81" customFormat="1"/>
    <row r="129" spans="1:13" s="81" customFormat="1"/>
    <row r="130" spans="1:13" s="81" customFormat="1"/>
    <row r="131" spans="1:13" s="81" customFormat="1"/>
    <row r="132" spans="1:13" s="81" customFormat="1"/>
    <row r="133" spans="1:13" s="81" customFormat="1"/>
    <row r="134" spans="1:13" s="81" customFormat="1"/>
    <row r="135" spans="1:13" s="81" customFormat="1"/>
    <row r="136" spans="1:13" s="81" customFormat="1"/>
    <row r="137" spans="1:13" s="81" customFormat="1">
      <c r="A137" s="123" t="s">
        <v>85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</row>
    <row r="138" spans="1:13" s="81" customForma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</row>
    <row r="139" spans="1:13" s="81" customForma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</row>
    <row r="140" spans="1:13" s="81" customFormat="1"/>
    <row r="141" spans="1:13" s="81" customFormat="1"/>
    <row r="142" spans="1:13" s="81" customFormat="1"/>
    <row r="143" spans="1:13" s="81" customFormat="1"/>
    <row r="144" spans="1:13" s="81" customFormat="1"/>
    <row r="145" s="81" customFormat="1"/>
    <row r="146" s="81" customFormat="1"/>
    <row r="147" s="81" customFormat="1"/>
    <row r="148" s="81" customFormat="1"/>
    <row r="149" s="81" customFormat="1"/>
    <row r="150" s="81" customFormat="1"/>
    <row r="151" s="81" customFormat="1"/>
    <row r="152" s="81" customFormat="1"/>
    <row r="153" s="81" customFormat="1"/>
    <row r="154" s="81" customFormat="1"/>
    <row r="155" s="81" customFormat="1"/>
    <row r="156" s="81" customFormat="1"/>
    <row r="157" s="81" customFormat="1"/>
    <row r="158" s="81" customFormat="1"/>
    <row r="159" s="81" customFormat="1"/>
    <row r="160" s="81" customFormat="1"/>
    <row r="161" spans="1:13" s="81" customFormat="1"/>
    <row r="162" spans="1:13" s="81" customFormat="1"/>
    <row r="163" spans="1:13" s="81" customFormat="1"/>
    <row r="164" spans="1:13" s="81" customFormat="1"/>
    <row r="165" spans="1:13" s="81" customFormat="1"/>
    <row r="166" spans="1:13" s="81" customFormat="1"/>
    <row r="167" spans="1:13" s="81" customFormat="1"/>
    <row r="168" spans="1:13" s="81" customFormat="1"/>
    <row r="169" spans="1:13" s="81" customFormat="1"/>
    <row r="170" spans="1:13" s="81" customFormat="1"/>
    <row r="171" spans="1:13">
      <c r="A171" s="123" t="s">
        <v>85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13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13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</sheetData>
  <mergeCells count="6">
    <mergeCell ref="A1:M3"/>
    <mergeCell ref="A69:M71"/>
    <mergeCell ref="A171:M173"/>
    <mergeCell ref="A35:M37"/>
    <mergeCell ref="A103:M105"/>
    <mergeCell ref="A137:M139"/>
  </mergeCells>
  <pageMargins left="0.7" right="0.7" top="0.75" bottom="0.75" header="0.3" footer="0.3"/>
  <pageSetup orientation="landscape" horizontalDpi="300" verticalDpi="300" r:id="rId1"/>
  <rowBreaks count="1" manualBreakCount="1">
    <brk id="68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406"/>
  <sheetViews>
    <sheetView view="pageBreakPreview" zoomScale="50" zoomScaleNormal="70" zoomScaleSheetLayoutView="50" workbookViewId="0">
      <selection activeCell="O33" sqref="O33"/>
    </sheetView>
  </sheetViews>
  <sheetFormatPr defaultRowHeight="15"/>
  <sheetData>
    <row r="1" spans="1:13" s="66" customFormat="1">
      <c r="A1" s="123" t="s">
        <v>122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66" customForma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s="66" customForma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66" customFormat="1"/>
    <row r="5" spans="1:13" s="66" customFormat="1"/>
    <row r="6" spans="1:13" s="66" customFormat="1"/>
    <row r="7" spans="1:13" s="66" customFormat="1"/>
    <row r="8" spans="1:13" s="66" customFormat="1"/>
    <row r="9" spans="1:13" s="66" customFormat="1"/>
    <row r="10" spans="1:13" s="66" customFormat="1"/>
    <row r="11" spans="1:13" s="66" customFormat="1"/>
    <row r="12" spans="1:13" s="66" customFormat="1"/>
    <row r="13" spans="1:13" s="66" customFormat="1"/>
    <row r="14" spans="1:13" s="66" customFormat="1"/>
    <row r="15" spans="1:13" s="66" customFormat="1"/>
    <row r="16" spans="1:13" s="66" customFormat="1"/>
    <row r="17" s="66" customFormat="1"/>
    <row r="18" s="66" customFormat="1"/>
    <row r="19" s="66" customFormat="1"/>
    <row r="20" s="66" customFormat="1"/>
    <row r="21" s="66" customFormat="1"/>
    <row r="22" s="66" customFormat="1"/>
    <row r="23" s="66" customFormat="1"/>
    <row r="24" s="66" customFormat="1"/>
    <row r="25" s="66" customFormat="1"/>
    <row r="26" s="66" customFormat="1"/>
    <row r="27" s="66" customFormat="1"/>
    <row r="28" s="66" customFormat="1"/>
    <row r="29" s="66" customFormat="1"/>
    <row r="30" s="66" customFormat="1"/>
    <row r="31" s="66" customFormat="1"/>
    <row r="32" s="66" customFormat="1"/>
    <row r="33" spans="1:13" s="66" customFormat="1"/>
    <row r="34" spans="1:13" s="66" customFormat="1"/>
    <row r="35" spans="1:13" s="81" customFormat="1">
      <c r="A35" s="123" t="s">
        <v>122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 s="81" customForma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s="81" customForma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s="81" customFormat="1"/>
    <row r="39" spans="1:13" s="81" customFormat="1"/>
    <row r="40" spans="1:13" s="81" customFormat="1"/>
    <row r="41" spans="1:13" s="81" customFormat="1"/>
    <row r="42" spans="1:13" s="81" customFormat="1"/>
    <row r="43" spans="1:13" s="81" customFormat="1"/>
    <row r="44" spans="1:13" s="81" customFormat="1"/>
    <row r="45" spans="1:13" s="81" customFormat="1"/>
    <row r="46" spans="1:13" s="81" customFormat="1"/>
    <row r="47" spans="1:13" s="81" customFormat="1"/>
    <row r="48" spans="1:13" s="81" customFormat="1"/>
    <row r="49" s="81" customFormat="1"/>
    <row r="50" s="81" customFormat="1"/>
    <row r="51" s="81" customFormat="1"/>
    <row r="52" s="81" customFormat="1"/>
    <row r="53" s="81" customFormat="1"/>
    <row r="54" s="81" customFormat="1"/>
    <row r="55" s="81" customFormat="1"/>
    <row r="56" s="81" customFormat="1"/>
    <row r="57" s="81" customFormat="1"/>
    <row r="58" s="81" customFormat="1"/>
    <row r="59" s="81" customFormat="1"/>
    <row r="60" s="81" customFormat="1"/>
    <row r="61" s="81" customFormat="1"/>
    <row r="62" s="81" customFormat="1"/>
    <row r="63" s="81" customFormat="1"/>
    <row r="64" s="81" customFormat="1"/>
    <row r="65" spans="1:13" s="81" customFormat="1"/>
    <row r="66" spans="1:13" s="81" customFormat="1"/>
    <row r="67" spans="1:13" s="81" customFormat="1"/>
    <row r="68" spans="1:13" s="81" customFormat="1"/>
    <row r="69" spans="1:13">
      <c r="A69" s="123" t="s">
        <v>120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103" spans="1:13" s="81" customFormat="1">
      <c r="A103" s="123" t="s">
        <v>120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 s="81" customForma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 s="81" customForma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  <row r="106" spans="1:13" s="81" customFormat="1"/>
    <row r="107" spans="1:13" s="81" customFormat="1"/>
    <row r="108" spans="1:13" s="81" customFormat="1"/>
    <row r="109" spans="1:13" s="81" customFormat="1"/>
    <row r="110" spans="1:13" s="81" customFormat="1"/>
    <row r="111" spans="1:13" s="81" customFormat="1"/>
    <row r="112" spans="1:13" s="81" customFormat="1"/>
    <row r="113" s="81" customFormat="1"/>
    <row r="114" s="81" customFormat="1"/>
    <row r="115" s="81" customFormat="1"/>
    <row r="116" s="81" customFormat="1"/>
    <row r="117" s="81" customFormat="1"/>
    <row r="118" s="81" customFormat="1"/>
    <row r="119" s="81" customFormat="1"/>
    <row r="120" s="81" customFormat="1"/>
    <row r="121" s="81" customFormat="1"/>
    <row r="122" s="81" customFormat="1"/>
    <row r="123" s="81" customFormat="1"/>
    <row r="124" s="81" customFormat="1"/>
    <row r="125" s="81" customFormat="1"/>
    <row r="126" s="81" customFormat="1"/>
    <row r="127" s="81" customFormat="1"/>
    <row r="128" s="81" customFormat="1"/>
    <row r="129" spans="1:13" s="81" customFormat="1"/>
    <row r="130" spans="1:13" s="81" customFormat="1"/>
    <row r="131" spans="1:13" s="81" customFormat="1"/>
    <row r="132" spans="1:13" s="81" customFormat="1"/>
    <row r="133" spans="1:13" s="81" customFormat="1"/>
    <row r="134" spans="1:13" s="81" customFormat="1"/>
    <row r="135" spans="1:13" s="81" customFormat="1"/>
    <row r="136" spans="1:13" s="81" customFormat="1"/>
    <row r="137" spans="1:13" s="66" customFormat="1">
      <c r="A137" s="123" t="s">
        <v>123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</row>
    <row r="138" spans="1:13" s="66" customForma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</row>
    <row r="139" spans="1:13" s="66" customForma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</row>
    <row r="140" spans="1:13" s="66" customFormat="1"/>
    <row r="141" spans="1:13" s="66" customFormat="1"/>
    <row r="142" spans="1:13" s="66" customFormat="1"/>
    <row r="143" spans="1:13" s="66" customFormat="1"/>
    <row r="144" spans="1:13" s="66" customFormat="1"/>
    <row r="145" s="66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pans="1:13" s="66" customFormat="1"/>
    <row r="162" spans="1:13" s="66" customFormat="1"/>
    <row r="163" spans="1:13" s="66" customFormat="1"/>
    <row r="164" spans="1:13" s="66" customFormat="1"/>
    <row r="165" spans="1:13" s="66" customFormat="1"/>
    <row r="166" spans="1:13" s="66" customFormat="1"/>
    <row r="167" spans="1:13" s="66" customFormat="1"/>
    <row r="168" spans="1:13" s="66" customFormat="1"/>
    <row r="169" spans="1:13" s="66" customFormat="1"/>
    <row r="170" spans="1:13" s="66" customFormat="1"/>
    <row r="171" spans="1:13" s="81" customFormat="1">
      <c r="A171" s="123" t="s">
        <v>123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13" s="81" customForma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13" s="81" customForma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spans="1:13" s="81" customFormat="1"/>
    <row r="175" spans="1:13" s="81" customFormat="1"/>
    <row r="176" spans="1:13" s="81" customFormat="1"/>
    <row r="177" s="81" customFormat="1"/>
    <row r="178" s="81" customFormat="1"/>
    <row r="179" s="81" customFormat="1"/>
    <row r="180" s="81" customFormat="1"/>
    <row r="181" s="81" customFormat="1"/>
    <row r="182" s="81" customFormat="1"/>
    <row r="183" s="81" customFormat="1"/>
    <row r="184" s="81" customFormat="1"/>
    <row r="185" s="81" customFormat="1"/>
    <row r="186" s="81" customFormat="1"/>
    <row r="187" s="81" customFormat="1"/>
    <row r="188" s="81" customFormat="1"/>
    <row r="189" s="81" customFormat="1"/>
    <row r="190" s="81" customFormat="1"/>
    <row r="191" s="81" customFormat="1"/>
    <row r="192" s="81" customFormat="1"/>
    <row r="193" spans="1:13" s="81" customFormat="1"/>
    <row r="194" spans="1:13" s="81" customFormat="1"/>
    <row r="195" spans="1:13" s="81" customFormat="1"/>
    <row r="196" spans="1:13" s="81" customFormat="1"/>
    <row r="197" spans="1:13" s="81" customFormat="1"/>
    <row r="198" spans="1:13" s="81" customFormat="1"/>
    <row r="199" spans="1:13" s="81" customFormat="1"/>
    <row r="200" spans="1:13" s="81" customFormat="1"/>
    <row r="201" spans="1:13" s="81" customFormat="1"/>
    <row r="202" spans="1:13" s="81" customFormat="1"/>
    <row r="203" spans="1:13" s="81" customFormat="1"/>
    <row r="204" spans="1:13" s="81" customFormat="1"/>
    <row r="205" spans="1:13">
      <c r="A205" s="123" t="s">
        <v>121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</row>
    <row r="206" spans="1:13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</row>
    <row r="207" spans="1:13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</row>
    <row r="239" spans="1:13" s="81" customFormat="1">
      <c r="A239" s="123" t="s">
        <v>121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</row>
    <row r="240" spans="1:13" s="81" customForma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</row>
    <row r="241" spans="1:13" s="81" customForma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</row>
    <row r="242" spans="1:13" s="81" customFormat="1"/>
    <row r="243" spans="1:13" s="81" customFormat="1"/>
    <row r="244" spans="1:13" s="81" customFormat="1"/>
    <row r="245" spans="1:13" s="81" customFormat="1"/>
    <row r="246" spans="1:13" s="81" customFormat="1"/>
    <row r="247" spans="1:13" s="81" customFormat="1"/>
    <row r="248" spans="1:13" s="81" customFormat="1"/>
    <row r="249" spans="1:13" s="81" customFormat="1"/>
    <row r="250" spans="1:13" s="81" customFormat="1"/>
    <row r="251" spans="1:13" s="81" customFormat="1"/>
    <row r="252" spans="1:13" s="81" customFormat="1"/>
    <row r="253" spans="1:13" s="81" customFormat="1"/>
    <row r="254" spans="1:13" s="81" customFormat="1"/>
    <row r="255" spans="1:13" s="81" customFormat="1"/>
    <row r="256" spans="1:13" s="81" customFormat="1"/>
    <row r="257" s="81" customFormat="1"/>
    <row r="258" s="81" customFormat="1"/>
    <row r="259" s="81" customFormat="1"/>
    <row r="260" s="81" customFormat="1"/>
    <row r="261" s="81" customFormat="1"/>
    <row r="262" s="81" customFormat="1"/>
    <row r="263" s="81" customFormat="1"/>
    <row r="264" s="81" customFormat="1"/>
    <row r="265" s="81" customFormat="1"/>
    <row r="266" s="81" customFormat="1"/>
    <row r="267" s="81" customFormat="1"/>
    <row r="268" s="81" customFormat="1"/>
    <row r="269" s="81" customFormat="1"/>
    <row r="270" s="81" customFormat="1"/>
    <row r="271" s="81" customFormat="1"/>
    <row r="272" s="81" customFormat="1"/>
    <row r="273" spans="1:13">
      <c r="A273" s="123" t="s">
        <v>95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</row>
    <row r="274" spans="1:13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</row>
    <row r="275" spans="1:13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</row>
    <row r="307" spans="1:13" s="81" customFormat="1">
      <c r="A307" s="123" t="s">
        <v>95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</row>
    <row r="308" spans="1:13" s="81" customForma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</row>
    <row r="309" spans="1:13" s="81" customForma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</row>
    <row r="310" spans="1:13" s="81" customFormat="1"/>
    <row r="311" spans="1:13" s="81" customFormat="1"/>
    <row r="312" spans="1:13" s="81" customFormat="1"/>
    <row r="313" spans="1:13" s="81" customFormat="1"/>
    <row r="314" spans="1:13" s="81" customFormat="1"/>
    <row r="315" spans="1:13" s="81" customFormat="1"/>
    <row r="316" spans="1:13" s="81" customFormat="1"/>
    <row r="317" spans="1:13" s="81" customFormat="1"/>
    <row r="318" spans="1:13" s="81" customFormat="1"/>
    <row r="319" spans="1:13" s="81" customFormat="1"/>
    <row r="320" spans="1:13" s="81" customFormat="1"/>
    <row r="321" s="81" customFormat="1"/>
    <row r="322" s="81" customFormat="1"/>
    <row r="323" s="81" customFormat="1"/>
    <row r="324" s="81" customFormat="1"/>
    <row r="325" s="81" customFormat="1"/>
    <row r="326" s="81" customFormat="1"/>
    <row r="327" s="81" customFormat="1"/>
    <row r="328" s="81" customFormat="1"/>
    <row r="329" s="81" customFormat="1"/>
    <row r="330" s="81" customFormat="1"/>
    <row r="331" s="81" customFormat="1"/>
    <row r="332" s="81" customFormat="1"/>
    <row r="333" s="81" customFormat="1"/>
    <row r="334" s="81" customFormat="1"/>
    <row r="335" s="81" customFormat="1"/>
    <row r="336" s="81" customFormat="1"/>
    <row r="337" spans="1:13" s="81" customFormat="1"/>
    <row r="338" spans="1:13" s="81" customFormat="1"/>
    <row r="339" spans="1:13" s="81" customFormat="1"/>
    <row r="340" spans="1:13" s="81" customFormat="1"/>
    <row r="341" spans="1:13">
      <c r="A341" s="123" t="s">
        <v>96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</row>
    <row r="342" spans="1:13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</row>
    <row r="343" spans="1:13" s="81" customFormat="1" ht="15" customHeight="1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</row>
    <row r="344" spans="1:13" s="81" customFormat="1" ht="15" customHeight="1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</row>
    <row r="345" spans="1:13" s="81" customFormat="1" ht="15" customHeight="1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</row>
    <row r="346" spans="1:13" s="81" customFormat="1" ht="15" customHeight="1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</row>
    <row r="347" spans="1:13" s="81" customFormat="1" ht="15" customHeight="1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</row>
    <row r="348" spans="1:13" s="81" customFormat="1" ht="15" customHeight="1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</row>
    <row r="349" spans="1:13" s="81" customFormat="1" ht="15" customHeight="1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</row>
    <row r="350" spans="1:13" s="81" customFormat="1" ht="15" customHeight="1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</row>
    <row r="351" spans="1:13" s="81" customFormat="1" ht="15" customHeight="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</row>
    <row r="352" spans="1:13" s="81" customFormat="1" ht="15" customHeight="1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</row>
    <row r="353" spans="1:13" s="81" customFormat="1" ht="15" customHeight="1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</row>
    <row r="354" spans="1:13" s="81" customFormat="1" ht="15" customHeight="1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</row>
    <row r="355" spans="1:13" s="81" customFormat="1" ht="15" customHeight="1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</row>
    <row r="356" spans="1:13" s="81" customFormat="1" ht="15" customHeight="1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</row>
    <row r="357" spans="1:13" s="81" customFormat="1" ht="15" customHeight="1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</row>
    <row r="358" spans="1:13" s="81" customFormat="1" ht="15" customHeight="1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</row>
    <row r="359" spans="1:13" s="81" customFormat="1" ht="15" customHeight="1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</row>
    <row r="360" spans="1:13" s="81" customFormat="1" ht="15" customHeight="1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</row>
    <row r="361" spans="1:13" s="81" customFormat="1" ht="15" customHeight="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</row>
    <row r="362" spans="1:13" s="81" customFormat="1" ht="15" customHeight="1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</row>
    <row r="363" spans="1:13" s="81" customFormat="1" ht="15" customHeight="1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</row>
    <row r="364" spans="1:13" s="81" customFormat="1" ht="15" customHeight="1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</row>
    <row r="365" spans="1:13" s="81" customFormat="1" ht="15" customHeight="1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</row>
    <row r="366" spans="1:13" s="81" customFormat="1" ht="15" customHeight="1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</row>
    <row r="367" spans="1:13" s="81" customFormat="1" ht="15" customHeight="1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</row>
    <row r="368" spans="1:13" s="81" customFormat="1" ht="15" customHeight="1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</row>
    <row r="369" spans="1:13" s="81" customFormat="1" ht="15" customHeight="1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</row>
    <row r="370" spans="1:13" s="81" customFormat="1" ht="15" customHeight="1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</row>
    <row r="371" spans="1:13" s="81" customFormat="1" ht="15" customHeight="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</row>
    <row r="372" spans="1:13" s="81" customFormat="1" ht="15" customHeight="1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</row>
    <row r="373" spans="1:13" s="81" customFormat="1" ht="15" customHeight="1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</row>
    <row r="374" spans="1:13" s="81" customFormat="1" ht="15" customHeight="1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</row>
    <row r="375" spans="1:13" s="81" customFormat="1" ht="15" customHeight="1">
      <c r="A375" s="123" t="s">
        <v>96</v>
      </c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</row>
    <row r="376" spans="1:13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</row>
    <row r="406" s="81" customFormat="1"/>
  </sheetData>
  <mergeCells count="12">
    <mergeCell ref="A1:M3"/>
    <mergeCell ref="A137:M139"/>
    <mergeCell ref="A35:M37"/>
    <mergeCell ref="A103:M105"/>
    <mergeCell ref="A171:M173"/>
    <mergeCell ref="A375:M376"/>
    <mergeCell ref="A69:M71"/>
    <mergeCell ref="A205:M207"/>
    <mergeCell ref="A273:M275"/>
    <mergeCell ref="A341:M342"/>
    <mergeCell ref="A239:M241"/>
    <mergeCell ref="A307:M309"/>
  </mergeCells>
  <pageMargins left="0.7" right="0.7" top="0.75" bottom="0.75" header="0.3" footer="0.3"/>
  <pageSetup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41"/>
  <sheetViews>
    <sheetView view="pageBreakPreview" zoomScale="60" zoomScaleNormal="100" workbookViewId="0">
      <selection activeCell="P179" sqref="P179"/>
    </sheetView>
  </sheetViews>
  <sheetFormatPr defaultRowHeight="15"/>
  <sheetData>
    <row r="1" spans="1:13" s="66" customFormat="1">
      <c r="A1" s="123" t="s">
        <v>124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66" customForma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s="66" customForma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66" customFormat="1"/>
    <row r="5" spans="1:13" s="66" customFormat="1"/>
    <row r="6" spans="1:13" s="66" customFormat="1"/>
    <row r="7" spans="1:13" s="66" customFormat="1"/>
    <row r="8" spans="1:13" s="66" customFormat="1"/>
    <row r="9" spans="1:13" s="66" customFormat="1"/>
    <row r="10" spans="1:13" s="66" customFormat="1"/>
    <row r="11" spans="1:13" s="66" customFormat="1"/>
    <row r="12" spans="1:13" s="66" customFormat="1"/>
    <row r="13" spans="1:13" s="66" customFormat="1"/>
    <row r="14" spans="1:13" s="66" customFormat="1"/>
    <row r="15" spans="1:13" s="66" customFormat="1"/>
    <row r="16" spans="1:13" s="66" customFormat="1"/>
    <row r="17" s="66" customFormat="1"/>
    <row r="18" s="66" customFormat="1"/>
    <row r="19" s="66" customFormat="1"/>
    <row r="20" s="66" customFormat="1"/>
    <row r="21" s="66" customFormat="1"/>
    <row r="22" s="66" customFormat="1"/>
    <row r="23" s="66" customFormat="1"/>
    <row r="24" s="66" customFormat="1"/>
    <row r="25" s="66" customFormat="1"/>
    <row r="26" s="66" customFormat="1"/>
    <row r="27" s="66" customFormat="1"/>
    <row r="28" s="66" customFormat="1"/>
    <row r="29" s="66" customFormat="1"/>
    <row r="30" s="66" customFormat="1"/>
    <row r="31" s="66" customFormat="1"/>
    <row r="32" s="66" customFormat="1"/>
    <row r="33" spans="1:13" s="66" customFormat="1"/>
    <row r="34" spans="1:13" s="66" customFormat="1"/>
    <row r="35" spans="1:13" s="81" customFormat="1">
      <c r="A35" s="123" t="s">
        <v>124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 s="81" customForma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s="81" customFormat="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s="81" customFormat="1"/>
    <row r="39" spans="1:13" s="81" customFormat="1"/>
    <row r="40" spans="1:13" s="81" customFormat="1"/>
    <row r="41" spans="1:13" s="81" customFormat="1"/>
    <row r="42" spans="1:13" s="81" customFormat="1"/>
    <row r="43" spans="1:13" s="81" customFormat="1"/>
    <row r="44" spans="1:13" s="81" customFormat="1"/>
    <row r="45" spans="1:13" s="81" customFormat="1"/>
    <row r="46" spans="1:13" s="81" customFormat="1"/>
    <row r="47" spans="1:13" s="81" customFormat="1"/>
    <row r="48" spans="1:13" s="81" customFormat="1"/>
    <row r="49" s="81" customFormat="1"/>
    <row r="50" s="81" customFormat="1"/>
    <row r="51" s="81" customFormat="1"/>
    <row r="52" s="81" customFormat="1"/>
    <row r="53" s="81" customFormat="1"/>
    <row r="54" s="81" customFormat="1"/>
    <row r="55" s="81" customFormat="1"/>
    <row r="56" s="81" customFormat="1"/>
    <row r="57" s="81" customFormat="1"/>
    <row r="58" s="81" customFormat="1"/>
    <row r="59" s="81" customFormat="1"/>
    <row r="60" s="81" customFormat="1"/>
    <row r="61" s="81" customFormat="1"/>
    <row r="62" s="81" customFormat="1"/>
    <row r="63" s="81" customFormat="1"/>
    <row r="64" s="81" customFormat="1"/>
    <row r="65" spans="1:13" s="81" customFormat="1"/>
    <row r="66" spans="1:13" s="81" customFormat="1"/>
    <row r="67" spans="1:13" s="81" customFormat="1"/>
    <row r="68" spans="1:13" s="81" customFormat="1"/>
    <row r="69" spans="1:13" s="66" customFormat="1">
      <c r="A69" s="123" t="s">
        <v>125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 s="66" customForma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 s="66" customForma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13" s="66" customFormat="1"/>
    <row r="73" spans="1:13" s="66" customFormat="1"/>
    <row r="74" spans="1:13" s="66" customFormat="1"/>
    <row r="75" spans="1:13" s="66" customFormat="1"/>
    <row r="76" spans="1:13" s="66" customFormat="1"/>
    <row r="77" spans="1:13" s="66" customFormat="1"/>
    <row r="78" spans="1:13" s="66" customFormat="1"/>
    <row r="79" spans="1:13" s="66" customFormat="1"/>
    <row r="80" spans="1:13" s="66" customFormat="1"/>
    <row r="81" s="66" customFormat="1"/>
    <row r="82" s="66" customFormat="1"/>
    <row r="83" s="66" customFormat="1"/>
    <row r="84" s="66" customFormat="1"/>
    <row r="85" s="66" customFormat="1"/>
    <row r="86" s="66" customFormat="1"/>
    <row r="87" s="66" customFormat="1"/>
    <row r="88" s="66" customFormat="1"/>
    <row r="89" s="66" customFormat="1"/>
    <row r="90" s="66" customFormat="1"/>
    <row r="91" s="66" customFormat="1"/>
    <row r="92" s="66" customFormat="1"/>
    <row r="93" s="66" customFormat="1"/>
    <row r="94" s="66" customFormat="1"/>
    <row r="95" s="66" customFormat="1"/>
    <row r="96" s="66" customFormat="1"/>
    <row r="97" spans="1:13" s="66" customFormat="1"/>
    <row r="98" spans="1:13" s="66" customFormat="1"/>
    <row r="99" spans="1:13" s="66" customFormat="1"/>
    <row r="100" spans="1:13" s="66" customFormat="1"/>
    <row r="101" spans="1:13" s="66" customFormat="1"/>
    <row r="102" spans="1:13" s="66" customFormat="1"/>
    <row r="103" spans="1:13" s="81" customFormat="1">
      <c r="A103" s="123" t="s">
        <v>125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 s="81" customForma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 s="81" customForma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  <row r="106" spans="1:13" s="81" customFormat="1"/>
    <row r="107" spans="1:13" s="81" customFormat="1"/>
    <row r="108" spans="1:13" s="81" customFormat="1"/>
    <row r="109" spans="1:13" s="81" customFormat="1"/>
    <row r="110" spans="1:13" s="81" customFormat="1"/>
    <row r="111" spans="1:13" s="81" customFormat="1"/>
    <row r="112" spans="1:13" s="81" customFormat="1"/>
    <row r="113" s="81" customFormat="1"/>
    <row r="114" s="81" customFormat="1"/>
    <row r="115" s="81" customFormat="1"/>
    <row r="116" s="81" customFormat="1"/>
    <row r="117" s="81" customFormat="1"/>
    <row r="118" s="81" customFormat="1"/>
    <row r="119" s="81" customFormat="1"/>
    <row r="120" s="81" customFormat="1"/>
    <row r="121" s="81" customFormat="1"/>
    <row r="122" s="81" customFormat="1"/>
    <row r="123" s="81" customFormat="1"/>
    <row r="124" s="81" customFormat="1"/>
    <row r="125" s="81" customFormat="1"/>
    <row r="126" s="81" customFormat="1"/>
    <row r="127" s="81" customFormat="1"/>
    <row r="128" s="81" customFormat="1"/>
    <row r="129" spans="1:13" s="81" customFormat="1"/>
    <row r="130" spans="1:13" s="81" customFormat="1"/>
    <row r="131" spans="1:13" s="81" customFormat="1"/>
    <row r="132" spans="1:13" s="81" customFormat="1"/>
    <row r="133" spans="1:13" s="81" customFormat="1"/>
    <row r="134" spans="1:13" s="81" customFormat="1"/>
    <row r="135" spans="1:13" s="81" customFormat="1"/>
    <row r="136" spans="1:13" s="81" customFormat="1"/>
    <row r="137" spans="1:13">
      <c r="A137" s="123" t="s">
        <v>97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</row>
    <row r="138" spans="1:13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</row>
    <row r="139" spans="1:13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</row>
    <row r="171" spans="1:13" s="81" customFormat="1">
      <c r="A171" s="123" t="s">
        <v>97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13" s="81" customForma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13" s="81" customForma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spans="1:13" s="81" customFormat="1"/>
    <row r="175" spans="1:13" s="81" customFormat="1"/>
    <row r="176" spans="1:13" s="81" customFormat="1"/>
    <row r="177" s="81" customFormat="1"/>
    <row r="178" s="81" customFormat="1"/>
    <row r="179" s="81" customFormat="1"/>
    <row r="180" s="81" customFormat="1"/>
    <row r="181" s="81" customFormat="1"/>
    <row r="182" s="81" customFormat="1"/>
    <row r="183" s="81" customFormat="1"/>
    <row r="184" s="81" customFormat="1"/>
    <row r="185" s="81" customFormat="1"/>
    <row r="186" s="81" customFormat="1"/>
    <row r="187" s="81" customFormat="1"/>
    <row r="188" s="81" customFormat="1"/>
    <row r="189" s="81" customFormat="1"/>
    <row r="190" s="81" customFormat="1"/>
    <row r="191" s="81" customFormat="1"/>
    <row r="192" s="81" customFormat="1"/>
    <row r="193" spans="1:13" s="81" customFormat="1"/>
    <row r="194" spans="1:13" s="81" customFormat="1"/>
    <row r="195" spans="1:13" s="81" customFormat="1"/>
    <row r="196" spans="1:13" s="81" customFormat="1"/>
    <row r="197" spans="1:13" s="81" customFormat="1"/>
    <row r="198" spans="1:13" s="81" customFormat="1"/>
    <row r="199" spans="1:13" s="81" customFormat="1"/>
    <row r="200" spans="1:13" s="81" customFormat="1"/>
    <row r="201" spans="1:13" s="81" customFormat="1"/>
    <row r="202" spans="1:13" s="81" customFormat="1"/>
    <row r="203" spans="1:13" s="81" customFormat="1"/>
    <row r="204" spans="1:13" s="81" customFormat="1"/>
    <row r="205" spans="1:13" s="81" customFormat="1">
      <c r="A205" s="123" t="s">
        <v>98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</row>
    <row r="206" spans="1:13" s="81" customFormat="1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</row>
    <row r="207" spans="1:13" s="81" customFormat="1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</row>
    <row r="208" spans="1:13" s="81" customFormat="1"/>
    <row r="209" s="81" customFormat="1"/>
    <row r="210" s="81" customFormat="1"/>
    <row r="211" s="81" customFormat="1"/>
    <row r="212" s="81" customFormat="1"/>
    <row r="213" s="81" customFormat="1"/>
    <row r="214" s="81" customFormat="1"/>
    <row r="215" s="81" customFormat="1"/>
    <row r="216" s="81" customFormat="1"/>
    <row r="217" s="81" customFormat="1"/>
    <row r="218" s="81" customFormat="1"/>
    <row r="219" s="81" customFormat="1"/>
    <row r="220" s="81" customFormat="1"/>
    <row r="221" s="81" customFormat="1"/>
    <row r="222" s="81" customFormat="1"/>
    <row r="223" s="81" customFormat="1"/>
    <row r="224" s="81" customFormat="1"/>
    <row r="225" spans="1:13" s="81" customFormat="1"/>
    <row r="226" spans="1:13" s="81" customFormat="1"/>
    <row r="227" spans="1:13" s="81" customFormat="1"/>
    <row r="228" spans="1:13" s="81" customFormat="1"/>
    <row r="229" spans="1:13" s="81" customFormat="1"/>
    <row r="230" spans="1:13" s="81" customFormat="1"/>
    <row r="231" spans="1:13" s="81" customFormat="1"/>
    <row r="232" spans="1:13" s="81" customFormat="1"/>
    <row r="233" spans="1:13" s="81" customFormat="1"/>
    <row r="234" spans="1:13" s="81" customFormat="1"/>
    <row r="235" spans="1:13" s="81" customFormat="1"/>
    <row r="236" spans="1:13" s="81" customFormat="1"/>
    <row r="237" spans="1:13" s="81" customFormat="1"/>
    <row r="238" spans="1:13" s="81" customFormat="1"/>
    <row r="239" spans="1:13">
      <c r="A239" s="123" t="s">
        <v>98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</row>
    <row r="240" spans="1:13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</row>
    <row r="241" spans="1:13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</row>
  </sheetData>
  <mergeCells count="8">
    <mergeCell ref="A137:M139"/>
    <mergeCell ref="A239:M241"/>
    <mergeCell ref="A1:M3"/>
    <mergeCell ref="A69:M71"/>
    <mergeCell ref="A35:M37"/>
    <mergeCell ref="A103:M105"/>
    <mergeCell ref="A171:M173"/>
    <mergeCell ref="A205:M207"/>
  </mergeCells>
  <pageMargins left="0.7" right="0.7" top="0.75" bottom="0.75" header="0.3" footer="0.3"/>
  <pageSetup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105"/>
  <sheetViews>
    <sheetView view="pageBreakPreview" zoomScale="60" zoomScaleNormal="70" workbookViewId="0">
      <selection activeCell="P179" sqref="P179"/>
    </sheetView>
  </sheetViews>
  <sheetFormatPr defaultRowHeight="15"/>
  <cols>
    <col min="1" max="16384" width="9.140625" style="81"/>
  </cols>
  <sheetData>
    <row r="1" spans="1:13">
      <c r="A1" s="123" t="s">
        <v>144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144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69" spans="1:13">
      <c r="A69" s="123" t="s">
        <v>145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103" spans="1:13">
      <c r="A103" s="123" t="s">
        <v>145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</sheetData>
  <mergeCells count="4">
    <mergeCell ref="A1:M3"/>
    <mergeCell ref="A35:M37"/>
    <mergeCell ref="A69:M71"/>
    <mergeCell ref="A103:M105"/>
  </mergeCell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B75"/>
  <sheetViews>
    <sheetView view="pageBreakPreview" topLeftCell="N40" zoomScaleNormal="25" zoomScaleSheetLayoutView="100" workbookViewId="0">
      <selection activeCell="V56" sqref="V56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25" width="10.42578125" style="1" customWidth="1"/>
    <col min="26" max="26" width="0.85546875" style="1" customWidth="1"/>
    <col min="27" max="29" width="10.42578125" style="1" customWidth="1"/>
    <col min="30" max="30" width="0.85546875" style="1" customWidth="1"/>
    <col min="31" max="33" width="10.42578125" style="1" customWidth="1"/>
    <col min="34" max="34" width="0.85546875" style="1" customWidth="1"/>
    <col min="35" max="37" width="10.42578125" style="1" customWidth="1"/>
    <col min="38" max="38" width="0.85546875" style="1" customWidth="1"/>
    <col min="39" max="41" width="10.42578125" style="1" customWidth="1"/>
    <col min="42" max="42" width="0.85546875" style="1" customWidth="1"/>
    <col min="43" max="45" width="10.42578125" style="1" customWidth="1"/>
    <col min="46" max="46" width="0.85546875" style="1" customWidth="1"/>
    <col min="47" max="49" width="10.42578125" style="1" customWidth="1"/>
    <col min="50" max="50" width="0.85546875" style="1" customWidth="1"/>
    <col min="51" max="53" width="10.42578125" style="1" customWidth="1"/>
    <col min="54" max="54" width="0.85546875" style="1" customWidth="1"/>
    <col min="55" max="57" width="10.42578125" style="1" customWidth="1"/>
    <col min="58" max="58" width="0.85546875" style="1" customWidth="1"/>
    <col min="59" max="61" width="10.42578125" style="1" customWidth="1"/>
    <col min="62" max="62" width="0.85546875" style="1" customWidth="1"/>
    <col min="63" max="65" width="10.42578125" style="1" customWidth="1"/>
    <col min="66" max="66" width="0.85546875" style="1" customWidth="1"/>
    <col min="67" max="69" width="10.42578125" style="1" customWidth="1"/>
    <col min="70" max="70" width="0.85546875" style="1" customWidth="1"/>
    <col min="71" max="73" width="10.42578125" style="1" customWidth="1"/>
    <col min="74" max="74" width="0.85546875" style="1" customWidth="1"/>
    <col min="75" max="16384" width="9.140625" style="1"/>
  </cols>
  <sheetData>
    <row r="1" spans="1:80" s="9" customFormat="1" ht="23.25">
      <c r="A1" s="86" t="s">
        <v>138</v>
      </c>
      <c r="C1" s="87"/>
    </row>
    <row r="2" spans="1:80" ht="14.25" customHeight="1" thickBot="1">
      <c r="A2" s="85"/>
    </row>
    <row r="3" spans="1:80" ht="15">
      <c r="B3" s="9" t="s">
        <v>9</v>
      </c>
      <c r="D3" s="105" t="s">
        <v>10</v>
      </c>
      <c r="E3" s="106"/>
      <c r="F3" s="107"/>
      <c r="H3" s="108">
        <v>40375</v>
      </c>
      <c r="I3" s="106"/>
      <c r="J3" s="107"/>
      <c r="L3" s="108">
        <v>40389</v>
      </c>
      <c r="M3" s="106"/>
      <c r="N3" s="107"/>
      <c r="P3" s="108">
        <v>40396</v>
      </c>
      <c r="Q3" s="106"/>
      <c r="R3" s="107"/>
      <c r="T3" s="108">
        <v>40408</v>
      </c>
      <c r="U3" s="106"/>
      <c r="V3" s="107"/>
    </row>
    <row r="4" spans="1:80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  <c r="T4" s="63" t="s">
        <v>6</v>
      </c>
      <c r="U4" s="61" t="s">
        <v>7</v>
      </c>
      <c r="V4" s="64" t="s">
        <v>8</v>
      </c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</row>
    <row r="5" spans="1:80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</row>
    <row r="6" spans="1:80" ht="23.1" customHeight="1">
      <c r="A6" s="109" t="s">
        <v>13</v>
      </c>
      <c r="B6" s="6" t="s">
        <v>1</v>
      </c>
      <c r="C6" s="13"/>
      <c r="D6" s="10" t="s">
        <v>15</v>
      </c>
      <c r="E6" s="20">
        <v>4.08</v>
      </c>
      <c r="F6" s="21">
        <f>8.68*35</f>
        <v>303.8</v>
      </c>
      <c r="G6" s="27"/>
      <c r="H6" s="28" t="s">
        <v>15</v>
      </c>
      <c r="I6" s="20">
        <v>7.64</v>
      </c>
      <c r="J6" s="21">
        <f>32.1*35</f>
        <v>1123.5</v>
      </c>
      <c r="K6" s="27"/>
      <c r="L6" s="28" t="s">
        <v>15</v>
      </c>
      <c r="M6" s="20">
        <v>4.49</v>
      </c>
      <c r="N6" s="21">
        <f>10.9*35</f>
        <v>381.5</v>
      </c>
      <c r="O6" s="27"/>
      <c r="P6" s="28" t="s">
        <v>15</v>
      </c>
      <c r="Q6" s="20">
        <v>3.76</v>
      </c>
      <c r="R6" s="21">
        <f>9.94*35</f>
        <v>347.9</v>
      </c>
      <c r="S6" s="27"/>
      <c r="T6" s="28" t="s">
        <v>15</v>
      </c>
      <c r="U6" s="20">
        <v>3.92</v>
      </c>
      <c r="V6" s="21">
        <f>6.38*35</f>
        <v>223.29999999999998</v>
      </c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</row>
    <row r="7" spans="1:80" ht="23.1" customHeight="1">
      <c r="A7" s="110"/>
      <c r="B7" s="7" t="s">
        <v>2</v>
      </c>
      <c r="C7" s="13"/>
      <c r="D7" s="11" t="s">
        <v>15</v>
      </c>
      <c r="E7" s="22">
        <v>5.98</v>
      </c>
      <c r="F7" s="23">
        <f>9.39*35</f>
        <v>328.65000000000003</v>
      </c>
      <c r="G7" s="27"/>
      <c r="H7" s="29" t="s">
        <v>15</v>
      </c>
      <c r="I7" s="22">
        <v>4.26</v>
      </c>
      <c r="J7" s="23">
        <f>10.1*35</f>
        <v>353.5</v>
      </c>
      <c r="K7" s="27"/>
      <c r="L7" s="29" t="s">
        <v>15</v>
      </c>
      <c r="M7" s="22">
        <v>4.43</v>
      </c>
      <c r="N7" s="23">
        <f>10.8*35</f>
        <v>378</v>
      </c>
      <c r="O7" s="27"/>
      <c r="P7" s="29" t="s">
        <v>15</v>
      </c>
      <c r="Q7" s="22">
        <v>4.2699999999999996</v>
      </c>
      <c r="R7" s="23">
        <f>10.3*35</f>
        <v>360.5</v>
      </c>
      <c r="S7" s="27"/>
      <c r="T7" s="29" t="s">
        <v>15</v>
      </c>
      <c r="U7" s="22">
        <v>3.9</v>
      </c>
      <c r="V7" s="23">
        <f>3.78*35</f>
        <v>132.29999999999998</v>
      </c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</row>
    <row r="8" spans="1:80" ht="23.1" customHeight="1">
      <c r="A8" s="110"/>
      <c r="B8" s="7" t="s">
        <v>3</v>
      </c>
      <c r="C8" s="13"/>
      <c r="D8" s="11" t="s">
        <v>15</v>
      </c>
      <c r="E8" s="22">
        <v>4.75</v>
      </c>
      <c r="F8" s="23">
        <f>8.26*35</f>
        <v>289.09999999999997</v>
      </c>
      <c r="G8" s="27"/>
      <c r="H8" s="29" t="s">
        <v>15</v>
      </c>
      <c r="I8" s="22">
        <v>3.47</v>
      </c>
      <c r="J8" s="23">
        <f>6.54*35</f>
        <v>228.9</v>
      </c>
      <c r="K8" s="27"/>
      <c r="L8" s="29" t="s">
        <v>15</v>
      </c>
      <c r="M8" s="22">
        <v>4.08</v>
      </c>
      <c r="N8" s="23">
        <f>8.44*35</f>
        <v>295.39999999999998</v>
      </c>
      <c r="O8" s="27"/>
      <c r="P8" s="29" t="s">
        <v>15</v>
      </c>
      <c r="Q8" s="22">
        <v>3.31</v>
      </c>
      <c r="R8" s="23">
        <f>6.3*35</f>
        <v>220.5</v>
      </c>
      <c r="S8" s="27"/>
      <c r="T8" s="29" t="s">
        <v>15</v>
      </c>
      <c r="U8" s="22">
        <v>4.1399999999999997</v>
      </c>
      <c r="V8" s="23">
        <f>7.9*35</f>
        <v>276.5</v>
      </c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</row>
    <row r="9" spans="1:80" ht="23.1" customHeight="1" thickBot="1">
      <c r="A9" s="111"/>
      <c r="B9" s="8" t="s">
        <v>4</v>
      </c>
      <c r="C9" s="13"/>
      <c r="D9" s="12" t="s">
        <v>15</v>
      </c>
      <c r="E9" s="46"/>
      <c r="F9" s="47"/>
      <c r="G9" s="27"/>
      <c r="H9" s="30" t="s">
        <v>15</v>
      </c>
      <c r="I9" s="24">
        <v>3.11</v>
      </c>
      <c r="J9" s="25">
        <f>5.14*35</f>
        <v>179.89999999999998</v>
      </c>
      <c r="K9" s="27"/>
      <c r="L9" s="30" t="s">
        <v>15</v>
      </c>
      <c r="M9" s="24">
        <v>3.95</v>
      </c>
      <c r="N9" s="25">
        <f>7.6*35</f>
        <v>266</v>
      </c>
      <c r="O9" s="27"/>
      <c r="P9" s="30" t="s">
        <v>15</v>
      </c>
      <c r="Q9" s="24">
        <v>3.06</v>
      </c>
      <c r="R9" s="25">
        <f>6.2*35</f>
        <v>217</v>
      </c>
      <c r="S9" s="27"/>
      <c r="T9" s="30" t="s">
        <v>15</v>
      </c>
      <c r="U9" s="24">
        <v>3.74</v>
      </c>
      <c r="V9" s="25">
        <f>11.5*35</f>
        <v>402.5</v>
      </c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</row>
    <row r="10" spans="1:80" s="3" customFormat="1" ht="4.5" customHeight="1" thickBot="1">
      <c r="A10" s="14"/>
      <c r="B10" s="15"/>
      <c r="C10" s="13"/>
      <c r="D10" s="16"/>
      <c r="E10" s="26"/>
      <c r="F10" s="26"/>
      <c r="G10" s="31"/>
      <c r="H10" s="32"/>
      <c r="I10" s="26"/>
      <c r="J10" s="26"/>
      <c r="K10" s="31"/>
      <c r="L10" s="32"/>
      <c r="M10" s="26"/>
      <c r="N10" s="26"/>
      <c r="O10" s="31"/>
      <c r="P10" s="32"/>
      <c r="Q10" s="26"/>
      <c r="R10" s="26"/>
      <c r="S10" s="31"/>
      <c r="T10" s="32"/>
      <c r="U10" s="26"/>
      <c r="V10" s="26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</row>
    <row r="11" spans="1:80" ht="23.1" customHeight="1">
      <c r="A11" s="102" t="s">
        <v>14</v>
      </c>
      <c r="B11" s="6" t="s">
        <v>1</v>
      </c>
      <c r="C11" s="13"/>
      <c r="D11" s="10" t="s">
        <v>11</v>
      </c>
      <c r="E11" s="20">
        <v>3.92</v>
      </c>
      <c r="F11" s="21">
        <f>6.86*35</f>
        <v>240.10000000000002</v>
      </c>
      <c r="G11" s="27"/>
      <c r="H11" s="28" t="s">
        <v>11</v>
      </c>
      <c r="I11" s="20">
        <v>4.1500000000000004</v>
      </c>
      <c r="J11" s="21">
        <f>12.1*35</f>
        <v>423.5</v>
      </c>
      <c r="K11" s="27"/>
      <c r="L11" s="28" t="s">
        <v>11</v>
      </c>
      <c r="M11" s="20">
        <v>3.05</v>
      </c>
      <c r="N11" s="21">
        <f>7.42*35</f>
        <v>259.7</v>
      </c>
      <c r="O11" s="27"/>
      <c r="P11" s="28" t="s">
        <v>11</v>
      </c>
      <c r="Q11" s="20">
        <v>4.43</v>
      </c>
      <c r="R11" s="21">
        <f>11.7*35</f>
        <v>409.5</v>
      </c>
      <c r="S11" s="27"/>
      <c r="T11" s="28" t="s">
        <v>11</v>
      </c>
      <c r="U11" s="20">
        <v>3.98</v>
      </c>
      <c r="V11" s="21">
        <f>8.8*35</f>
        <v>308</v>
      </c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</row>
    <row r="12" spans="1:80" ht="23.1" customHeight="1">
      <c r="A12" s="103"/>
      <c r="B12" s="7" t="s">
        <v>2</v>
      </c>
      <c r="C12" s="13"/>
      <c r="D12" s="11" t="s">
        <v>11</v>
      </c>
      <c r="E12" s="22">
        <v>4.41</v>
      </c>
      <c r="F12" s="23">
        <f>8.38*35</f>
        <v>293.3</v>
      </c>
      <c r="G12" s="27"/>
      <c r="H12" s="29" t="s">
        <v>11</v>
      </c>
      <c r="I12" s="22">
        <v>4.13</v>
      </c>
      <c r="J12" s="23">
        <f>12.9*35</f>
        <v>451.5</v>
      </c>
      <c r="K12" s="27"/>
      <c r="L12" s="29" t="s">
        <v>11</v>
      </c>
      <c r="M12" s="22">
        <v>5.28</v>
      </c>
      <c r="N12" s="23">
        <f>17.6*35</f>
        <v>616</v>
      </c>
      <c r="O12" s="27"/>
      <c r="P12" s="29" t="s">
        <v>11</v>
      </c>
      <c r="Q12" s="22">
        <v>4.4000000000000004</v>
      </c>
      <c r="R12" s="23">
        <f>11.3*35</f>
        <v>395.5</v>
      </c>
      <c r="S12" s="27"/>
      <c r="T12" s="29" t="s">
        <v>11</v>
      </c>
      <c r="U12" s="22">
        <v>4.24</v>
      </c>
      <c r="V12" s="23">
        <f>4.74*35</f>
        <v>165.9</v>
      </c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</row>
    <row r="13" spans="1:80" ht="23.1" customHeight="1">
      <c r="A13" s="103"/>
      <c r="B13" s="7" t="s">
        <v>3</v>
      </c>
      <c r="C13" s="13"/>
      <c r="D13" s="11" t="s">
        <v>11</v>
      </c>
      <c r="E13" s="22">
        <v>4.57</v>
      </c>
      <c r="F13" s="23">
        <f>8.14*35</f>
        <v>284.90000000000003</v>
      </c>
      <c r="G13" s="27"/>
      <c r="H13" s="29" t="s">
        <v>11</v>
      </c>
      <c r="I13" s="22">
        <v>3.35</v>
      </c>
      <c r="J13" s="23">
        <f>11.1*35</f>
        <v>388.5</v>
      </c>
      <c r="K13" s="27"/>
      <c r="L13" s="29" t="s">
        <v>11</v>
      </c>
      <c r="M13" s="22">
        <v>4.26</v>
      </c>
      <c r="N13" s="23">
        <f>11.2*35</f>
        <v>392</v>
      </c>
      <c r="O13" s="27"/>
      <c r="P13" s="29" t="s">
        <v>11</v>
      </c>
      <c r="Q13" s="22">
        <v>4.8099999999999996</v>
      </c>
      <c r="R13" s="23">
        <f>11.9*35</f>
        <v>416.5</v>
      </c>
      <c r="S13" s="27"/>
      <c r="T13" s="29" t="s">
        <v>11</v>
      </c>
      <c r="U13" s="22">
        <v>4.1500000000000004</v>
      </c>
      <c r="V13" s="23">
        <f>5.24*35</f>
        <v>183.4</v>
      </c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</row>
    <row r="14" spans="1:80" ht="22.5" customHeight="1" thickBot="1">
      <c r="A14" s="104"/>
      <c r="B14" s="8" t="s">
        <v>4</v>
      </c>
      <c r="C14" s="13"/>
      <c r="D14" s="12" t="s">
        <v>11</v>
      </c>
      <c r="E14" s="46"/>
      <c r="F14" s="47"/>
      <c r="G14" s="27"/>
      <c r="H14" s="30" t="s">
        <v>11</v>
      </c>
      <c r="I14" s="24">
        <v>2.63</v>
      </c>
      <c r="J14" s="25">
        <f>6.43*35</f>
        <v>225.04999999999998</v>
      </c>
      <c r="K14" s="27"/>
      <c r="L14" s="30" t="s">
        <v>11</v>
      </c>
      <c r="M14" s="24">
        <v>4.2</v>
      </c>
      <c r="N14" s="25">
        <f>10.7*35</f>
        <v>374.5</v>
      </c>
      <c r="O14" s="27"/>
      <c r="P14" s="30" t="s">
        <v>11</v>
      </c>
      <c r="Q14" s="24">
        <v>4.1500000000000004</v>
      </c>
      <c r="R14" s="25">
        <f>9.1*35</f>
        <v>318.5</v>
      </c>
      <c r="S14" s="27"/>
      <c r="T14" s="30" t="s">
        <v>11</v>
      </c>
      <c r="U14" s="24">
        <v>4.16</v>
      </c>
      <c r="V14" s="25">
        <f>9.84*35</f>
        <v>344.4</v>
      </c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</row>
    <row r="15" spans="1:80" ht="4.5" customHeight="1">
      <c r="A15" s="17"/>
      <c r="B15" s="17"/>
      <c r="C15" s="1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</row>
    <row r="16" spans="1:80" s="82" customFormat="1" ht="15" thickBot="1">
      <c r="C16" s="83"/>
    </row>
    <row r="17" spans="1:22" s="82" customFormat="1" ht="15">
      <c r="A17" s="1"/>
      <c r="B17" s="9" t="s">
        <v>9</v>
      </c>
      <c r="C17" s="83"/>
      <c r="D17" s="108">
        <v>40417</v>
      </c>
      <c r="E17" s="106"/>
      <c r="F17" s="107"/>
      <c r="G17" s="1"/>
      <c r="H17" s="108">
        <v>40423</v>
      </c>
      <c r="I17" s="106"/>
      <c r="J17" s="107"/>
      <c r="K17" s="1"/>
      <c r="L17" s="108">
        <v>40430</v>
      </c>
      <c r="M17" s="106"/>
      <c r="N17" s="107"/>
      <c r="O17" s="1"/>
      <c r="P17" s="108">
        <v>40437</v>
      </c>
      <c r="Q17" s="106"/>
      <c r="R17" s="107"/>
      <c r="S17" s="1"/>
      <c r="T17" s="108">
        <v>40448</v>
      </c>
      <c r="U17" s="106"/>
      <c r="V17" s="107"/>
    </row>
    <row r="18" spans="1:22" s="82" customFormat="1" ht="45.75" thickBot="1">
      <c r="A18" s="2"/>
      <c r="B18" s="2"/>
      <c r="C18" s="83"/>
      <c r="D18" s="63" t="s">
        <v>6</v>
      </c>
      <c r="E18" s="61" t="s">
        <v>7</v>
      </c>
      <c r="F18" s="64" t="s">
        <v>8</v>
      </c>
      <c r="G18" s="2"/>
      <c r="H18" s="63" t="s">
        <v>6</v>
      </c>
      <c r="I18" s="61" t="s">
        <v>7</v>
      </c>
      <c r="J18" s="64" t="s">
        <v>8</v>
      </c>
      <c r="K18" s="2"/>
      <c r="L18" s="63" t="s">
        <v>6</v>
      </c>
      <c r="M18" s="61" t="s">
        <v>7</v>
      </c>
      <c r="N18" s="64" t="s">
        <v>8</v>
      </c>
      <c r="O18" s="2"/>
      <c r="P18" s="63" t="s">
        <v>6</v>
      </c>
      <c r="Q18" s="61" t="s">
        <v>7</v>
      </c>
      <c r="R18" s="64" t="s">
        <v>8</v>
      </c>
      <c r="S18" s="2"/>
      <c r="T18" s="63" t="s">
        <v>6</v>
      </c>
      <c r="U18" s="61" t="s">
        <v>7</v>
      </c>
      <c r="V18" s="64" t="s">
        <v>8</v>
      </c>
    </row>
    <row r="19" spans="1:22" s="82" customFormat="1" ht="4.5" customHeight="1" thickBot="1">
      <c r="A19" s="17"/>
      <c r="B19" s="17"/>
      <c r="C19" s="1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s="82" customFormat="1" ht="23.1" customHeight="1">
      <c r="A20" s="109" t="s">
        <v>13</v>
      </c>
      <c r="B20" s="6" t="s">
        <v>1</v>
      </c>
      <c r="C20" s="13"/>
      <c r="D20" s="28" t="s">
        <v>15</v>
      </c>
      <c r="E20" s="20">
        <v>3.87</v>
      </c>
      <c r="F20" s="21">
        <f>8.74*35</f>
        <v>305.90000000000003</v>
      </c>
      <c r="G20" s="17"/>
      <c r="H20" s="28" t="s">
        <v>15</v>
      </c>
      <c r="I20" s="20">
        <v>4.96</v>
      </c>
      <c r="J20" s="21">
        <f>9.8*35</f>
        <v>343</v>
      </c>
      <c r="K20" s="17"/>
      <c r="L20" s="28" t="s">
        <v>15</v>
      </c>
      <c r="M20" s="20">
        <v>4.72</v>
      </c>
      <c r="N20" s="21">
        <f>9.18*35</f>
        <v>321.3</v>
      </c>
      <c r="O20" s="17"/>
      <c r="P20" s="28" t="s">
        <v>15</v>
      </c>
      <c r="Q20" s="20">
        <v>4.88</v>
      </c>
      <c r="R20" s="21">
        <f>10.9*35</f>
        <v>381.5</v>
      </c>
      <c r="S20" s="17"/>
      <c r="T20" s="28" t="s">
        <v>15</v>
      </c>
      <c r="U20" s="20">
        <v>4.67</v>
      </c>
      <c r="V20" s="21">
        <f>8.08*35</f>
        <v>282.8</v>
      </c>
    </row>
    <row r="21" spans="1:22" s="82" customFormat="1" ht="23.1" customHeight="1">
      <c r="A21" s="110"/>
      <c r="B21" s="7" t="s">
        <v>2</v>
      </c>
      <c r="C21" s="13"/>
      <c r="D21" s="29" t="s">
        <v>15</v>
      </c>
      <c r="E21" s="22">
        <v>6.65</v>
      </c>
      <c r="F21" s="23">
        <f>12.9*35</f>
        <v>451.5</v>
      </c>
      <c r="G21" s="17"/>
      <c r="H21" s="29" t="s">
        <v>15</v>
      </c>
      <c r="I21" s="22">
        <v>3.56</v>
      </c>
      <c r="J21" s="23">
        <f>5.26*35</f>
        <v>184.1</v>
      </c>
      <c r="K21" s="17"/>
      <c r="L21" s="29" t="s">
        <v>15</v>
      </c>
      <c r="M21" s="22">
        <v>4.8499999999999996</v>
      </c>
      <c r="N21" s="23">
        <f>9.06*35</f>
        <v>317.10000000000002</v>
      </c>
      <c r="O21" s="17"/>
      <c r="P21" s="29" t="s">
        <v>15</v>
      </c>
      <c r="Q21" s="22">
        <v>4.7699999999999996</v>
      </c>
      <c r="R21" s="23">
        <f>9.54*35</f>
        <v>333.9</v>
      </c>
      <c r="S21" s="17"/>
      <c r="T21" s="29" t="s">
        <v>15</v>
      </c>
      <c r="U21" s="22">
        <v>6.45</v>
      </c>
      <c r="V21" s="23">
        <f>2.55*35</f>
        <v>89.25</v>
      </c>
    </row>
    <row r="22" spans="1:22" s="82" customFormat="1" ht="23.1" customHeight="1">
      <c r="A22" s="110"/>
      <c r="B22" s="7" t="s">
        <v>3</v>
      </c>
      <c r="C22" s="13"/>
      <c r="D22" s="29" t="s">
        <v>15</v>
      </c>
      <c r="E22" s="22">
        <v>6.01</v>
      </c>
      <c r="F22" s="23">
        <f>10.4*35</f>
        <v>364</v>
      </c>
      <c r="G22" s="17"/>
      <c r="H22" s="29" t="s">
        <v>15</v>
      </c>
      <c r="I22" s="22">
        <v>3.85</v>
      </c>
      <c r="J22" s="23">
        <f>3.26*35</f>
        <v>114.1</v>
      </c>
      <c r="K22" s="17"/>
      <c r="L22" s="29" t="s">
        <v>15</v>
      </c>
      <c r="M22" s="22">
        <v>3.96</v>
      </c>
      <c r="N22" s="23">
        <f>8.5*35</f>
        <v>297.5</v>
      </c>
      <c r="O22" s="17"/>
      <c r="P22" s="29" t="s">
        <v>15</v>
      </c>
      <c r="Q22" s="22">
        <v>4.93</v>
      </c>
      <c r="R22" s="23">
        <f>7.27*35</f>
        <v>254.45</v>
      </c>
      <c r="S22" s="17"/>
      <c r="T22" s="29" t="s">
        <v>15</v>
      </c>
      <c r="U22" s="22">
        <v>5.18</v>
      </c>
      <c r="V22" s="23">
        <f>6.7*35</f>
        <v>234.5</v>
      </c>
    </row>
    <row r="23" spans="1:22" s="82" customFormat="1" ht="23.1" customHeight="1" thickBot="1">
      <c r="A23" s="111"/>
      <c r="B23" s="8" t="s">
        <v>4</v>
      </c>
      <c r="C23" s="13"/>
      <c r="D23" s="30" t="s">
        <v>15</v>
      </c>
      <c r="E23" s="24">
        <v>3.29</v>
      </c>
      <c r="F23" s="25">
        <f>5.04*35</f>
        <v>176.4</v>
      </c>
      <c r="G23" s="17"/>
      <c r="H23" s="30" t="s">
        <v>15</v>
      </c>
      <c r="I23" s="24">
        <v>4.3899999999999997</v>
      </c>
      <c r="J23" s="25">
        <f>8.45*35</f>
        <v>295.75</v>
      </c>
      <c r="K23" s="17"/>
      <c r="L23" s="30" t="s">
        <v>15</v>
      </c>
      <c r="M23" s="24">
        <v>3.99</v>
      </c>
      <c r="N23" s="25">
        <f>5.74*35</f>
        <v>200.9</v>
      </c>
      <c r="O23" s="17"/>
      <c r="P23" s="30" t="s">
        <v>15</v>
      </c>
      <c r="Q23" s="24">
        <v>3.94</v>
      </c>
      <c r="R23" s="25">
        <f>9.71*35</f>
        <v>339.85</v>
      </c>
      <c r="S23" s="17"/>
      <c r="T23" s="30" t="s">
        <v>15</v>
      </c>
      <c r="U23" s="24">
        <v>3.42</v>
      </c>
      <c r="V23" s="25">
        <f>6.88*35</f>
        <v>240.79999999999998</v>
      </c>
    </row>
    <row r="24" spans="1:22" s="82" customFormat="1" ht="4.5" customHeight="1" thickBot="1">
      <c r="A24" s="14"/>
      <c r="B24" s="15"/>
      <c r="C24" s="13"/>
      <c r="D24" s="32"/>
      <c r="E24" s="26"/>
      <c r="F24" s="26"/>
      <c r="G24" s="13"/>
      <c r="H24" s="32"/>
      <c r="I24" s="26"/>
      <c r="J24" s="26"/>
      <c r="K24" s="13"/>
      <c r="L24" s="32"/>
      <c r="M24" s="26"/>
      <c r="N24" s="26"/>
      <c r="O24" s="13"/>
      <c r="P24" s="32"/>
      <c r="Q24" s="26"/>
      <c r="R24" s="26"/>
      <c r="S24" s="13"/>
      <c r="T24" s="32"/>
      <c r="U24" s="26"/>
      <c r="V24" s="26"/>
    </row>
    <row r="25" spans="1:22" s="82" customFormat="1" ht="23.1" customHeight="1">
      <c r="A25" s="102" t="s">
        <v>14</v>
      </c>
      <c r="B25" s="6" t="s">
        <v>1</v>
      </c>
      <c r="C25" s="13"/>
      <c r="D25" s="28" t="s">
        <v>11</v>
      </c>
      <c r="E25" s="20">
        <v>4.28</v>
      </c>
      <c r="F25" s="21">
        <f>8.56*35</f>
        <v>299.60000000000002</v>
      </c>
      <c r="G25" s="17"/>
      <c r="H25" s="28" t="s">
        <v>11</v>
      </c>
      <c r="I25" s="20">
        <v>4.01</v>
      </c>
      <c r="J25" s="21">
        <f>2.85*35</f>
        <v>99.75</v>
      </c>
      <c r="K25" s="17"/>
      <c r="L25" s="28" t="s">
        <v>11</v>
      </c>
      <c r="M25" s="20">
        <v>5.17</v>
      </c>
      <c r="N25" s="21">
        <f>16.3*35</f>
        <v>570.5</v>
      </c>
      <c r="O25" s="17"/>
      <c r="P25" s="28" t="s">
        <v>11</v>
      </c>
      <c r="Q25" s="20">
        <v>4.95</v>
      </c>
      <c r="R25" s="21">
        <f>5.97*35</f>
        <v>208.95</v>
      </c>
      <c r="S25" s="17"/>
      <c r="T25" s="28" t="s">
        <v>11</v>
      </c>
      <c r="U25" s="20">
        <v>4.99</v>
      </c>
      <c r="V25" s="21">
        <f>9.95*35</f>
        <v>348.25</v>
      </c>
    </row>
    <row r="26" spans="1:22" s="82" customFormat="1" ht="23.1" customHeight="1">
      <c r="A26" s="103"/>
      <c r="B26" s="7" t="s">
        <v>2</v>
      </c>
      <c r="C26" s="13"/>
      <c r="D26" s="29" t="s">
        <v>11</v>
      </c>
      <c r="E26" s="22">
        <v>6.52</v>
      </c>
      <c r="F26" s="23">
        <f>4.3*35</f>
        <v>150.5</v>
      </c>
      <c r="G26" s="17"/>
      <c r="H26" s="29" t="s">
        <v>11</v>
      </c>
      <c r="I26" s="22">
        <v>4.2699999999999996</v>
      </c>
      <c r="J26" s="23">
        <f>6.8*35</f>
        <v>238</v>
      </c>
      <c r="K26" s="17"/>
      <c r="L26" s="29" t="s">
        <v>11</v>
      </c>
      <c r="M26" s="22">
        <v>4.8</v>
      </c>
      <c r="N26" s="23">
        <f>9.5*35</f>
        <v>332.5</v>
      </c>
      <c r="O26" s="17"/>
      <c r="P26" s="29" t="s">
        <v>11</v>
      </c>
      <c r="Q26" s="22">
        <v>5.73</v>
      </c>
      <c r="R26" s="23">
        <f>8.29*35</f>
        <v>290.14999999999998</v>
      </c>
      <c r="S26" s="17"/>
      <c r="T26" s="29" t="s">
        <v>11</v>
      </c>
      <c r="U26" s="22">
        <v>11.2</v>
      </c>
      <c r="V26" s="23">
        <f>8.49*35</f>
        <v>297.15000000000003</v>
      </c>
    </row>
    <row r="27" spans="1:22" s="82" customFormat="1" ht="23.1" customHeight="1">
      <c r="A27" s="103"/>
      <c r="B27" s="7" t="s">
        <v>3</v>
      </c>
      <c r="C27" s="13"/>
      <c r="D27" s="29" t="s">
        <v>11</v>
      </c>
      <c r="E27" s="22">
        <v>4.0999999999999996</v>
      </c>
      <c r="F27" s="23">
        <f>8.78*35</f>
        <v>307.29999999999995</v>
      </c>
      <c r="G27" s="17"/>
      <c r="H27" s="29" t="s">
        <v>11</v>
      </c>
      <c r="I27" s="22">
        <v>4.38</v>
      </c>
      <c r="J27" s="23">
        <f>5.69*35</f>
        <v>199.15</v>
      </c>
      <c r="K27" s="17"/>
      <c r="L27" s="29" t="s">
        <v>11</v>
      </c>
      <c r="M27" s="22">
        <v>5.2</v>
      </c>
      <c r="N27" s="23">
        <f>5.96*35</f>
        <v>208.6</v>
      </c>
      <c r="O27" s="17"/>
      <c r="P27" s="29" t="s">
        <v>11</v>
      </c>
      <c r="Q27" s="22">
        <v>4.9400000000000004</v>
      </c>
      <c r="R27" s="23">
        <f>8.44*35</f>
        <v>295.39999999999998</v>
      </c>
      <c r="S27" s="17"/>
      <c r="T27" s="29" t="s">
        <v>11</v>
      </c>
      <c r="U27" s="22">
        <v>4.58</v>
      </c>
      <c r="V27" s="23">
        <f>6.92*35</f>
        <v>242.2</v>
      </c>
    </row>
    <row r="28" spans="1:22" s="82" customFormat="1" ht="23.1" customHeight="1" thickBot="1">
      <c r="A28" s="104"/>
      <c r="B28" s="8" t="s">
        <v>4</v>
      </c>
      <c r="C28" s="13"/>
      <c r="D28" s="30" t="s">
        <v>11</v>
      </c>
      <c r="E28" s="24">
        <v>4.28</v>
      </c>
      <c r="F28" s="25">
        <f>6.2*35</f>
        <v>217</v>
      </c>
      <c r="G28" s="17"/>
      <c r="H28" s="30" t="s">
        <v>11</v>
      </c>
      <c r="I28" s="24">
        <v>3.93</v>
      </c>
      <c r="J28" s="25">
        <f>3.9*35</f>
        <v>136.5</v>
      </c>
      <c r="K28" s="17"/>
      <c r="L28" s="30" t="s">
        <v>11</v>
      </c>
      <c r="M28" s="24">
        <v>4.01</v>
      </c>
      <c r="N28" s="25">
        <f>9.68*35</f>
        <v>338.8</v>
      </c>
      <c r="O28" s="17"/>
      <c r="P28" s="30" t="s">
        <v>11</v>
      </c>
      <c r="Q28" s="24">
        <v>4.05</v>
      </c>
      <c r="R28" s="25">
        <f>4.18*35</f>
        <v>146.29999999999998</v>
      </c>
      <c r="S28" s="17"/>
      <c r="T28" s="30" t="s">
        <v>11</v>
      </c>
      <c r="U28" s="24">
        <v>5.1100000000000003</v>
      </c>
      <c r="V28" s="25">
        <f>12.3*35</f>
        <v>430.5</v>
      </c>
    </row>
    <row r="29" spans="1:22" s="82" customFormat="1" ht="4.5" customHeight="1">
      <c r="A29" s="17"/>
      <c r="B29" s="17"/>
      <c r="C29" s="1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82" customFormat="1" ht="15" thickBot="1">
      <c r="C30" s="83"/>
    </row>
    <row r="31" spans="1:22" s="82" customFormat="1" ht="15">
      <c r="A31" s="1"/>
      <c r="B31" s="9" t="s">
        <v>9</v>
      </c>
      <c r="C31" s="83"/>
      <c r="D31" s="108">
        <v>40453</v>
      </c>
      <c r="E31" s="106"/>
      <c r="F31" s="107"/>
      <c r="H31" s="108">
        <v>40461</v>
      </c>
      <c r="I31" s="106"/>
      <c r="J31" s="107"/>
      <c r="K31" s="1"/>
      <c r="L31" s="108">
        <v>40467</v>
      </c>
      <c r="M31" s="106"/>
      <c r="N31" s="107"/>
      <c r="O31" s="1"/>
      <c r="P31" s="108">
        <v>40497</v>
      </c>
      <c r="Q31" s="106"/>
      <c r="R31" s="107"/>
      <c r="S31" s="1"/>
      <c r="T31" s="108">
        <v>40510</v>
      </c>
      <c r="U31" s="106"/>
      <c r="V31" s="107"/>
    </row>
    <row r="32" spans="1:22" s="82" customFormat="1" ht="45.75" thickBot="1">
      <c r="A32" s="2"/>
      <c r="B32" s="2"/>
      <c r="C32" s="83"/>
      <c r="D32" s="63" t="s">
        <v>6</v>
      </c>
      <c r="E32" s="61" t="s">
        <v>7</v>
      </c>
      <c r="F32" s="64" t="s">
        <v>8</v>
      </c>
      <c r="H32" s="63" t="s">
        <v>6</v>
      </c>
      <c r="I32" s="61" t="s">
        <v>7</v>
      </c>
      <c r="J32" s="64" t="s">
        <v>8</v>
      </c>
      <c r="K32" s="2"/>
      <c r="L32" s="63" t="s">
        <v>6</v>
      </c>
      <c r="M32" s="61" t="s">
        <v>7</v>
      </c>
      <c r="N32" s="64" t="s">
        <v>8</v>
      </c>
      <c r="O32" s="2"/>
      <c r="P32" s="63" t="s">
        <v>6</v>
      </c>
      <c r="Q32" s="61" t="s">
        <v>7</v>
      </c>
      <c r="R32" s="64" t="s">
        <v>8</v>
      </c>
      <c r="S32" s="2"/>
      <c r="T32" s="63" t="s">
        <v>6</v>
      </c>
      <c r="U32" s="61" t="s">
        <v>7</v>
      </c>
      <c r="V32" s="64" t="s">
        <v>8</v>
      </c>
    </row>
    <row r="33" spans="1:23" s="82" customFormat="1" ht="4.5" customHeight="1" thickBot="1">
      <c r="A33" s="17"/>
      <c r="B33" s="17"/>
      <c r="C33" s="13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3" s="82" customFormat="1" ht="23.1" customHeight="1">
      <c r="A34" s="109" t="s">
        <v>13</v>
      </c>
      <c r="B34" s="6" t="s">
        <v>1</v>
      </c>
      <c r="C34" s="13"/>
      <c r="D34" s="28" t="s">
        <v>15</v>
      </c>
      <c r="E34" s="20">
        <v>7.86</v>
      </c>
      <c r="F34" s="21">
        <f>12*35</f>
        <v>420</v>
      </c>
      <c r="G34" s="17"/>
      <c r="H34" s="28" t="s">
        <v>15</v>
      </c>
      <c r="I34" s="20">
        <v>5.72</v>
      </c>
      <c r="J34" s="21">
        <f>14.2*35</f>
        <v>497</v>
      </c>
      <c r="K34" s="17"/>
      <c r="L34" s="28" t="s">
        <v>15</v>
      </c>
      <c r="M34" s="20">
        <v>4.3600000000000003</v>
      </c>
      <c r="N34" s="21">
        <f>6.35*35</f>
        <v>222.25</v>
      </c>
      <c r="O34" s="17"/>
      <c r="P34" s="28" t="s">
        <v>15</v>
      </c>
      <c r="Q34" s="20">
        <v>5.1100000000000003</v>
      </c>
      <c r="R34" s="21">
        <f>7.08*35</f>
        <v>247.8</v>
      </c>
      <c r="S34" s="17"/>
      <c r="T34" s="28" t="s">
        <v>15</v>
      </c>
      <c r="U34" s="20">
        <v>5.14</v>
      </c>
      <c r="V34" s="21">
        <f>7.53*35</f>
        <v>263.55</v>
      </c>
    </row>
    <row r="35" spans="1:23" s="82" customFormat="1" ht="23.1" customHeight="1">
      <c r="A35" s="110"/>
      <c r="B35" s="7" t="s">
        <v>2</v>
      </c>
      <c r="C35" s="13"/>
      <c r="D35" s="29" t="s">
        <v>15</v>
      </c>
      <c r="E35" s="22">
        <v>4.58</v>
      </c>
      <c r="F35" s="23">
        <f>6.35*35</f>
        <v>222.25</v>
      </c>
      <c r="G35" s="17"/>
      <c r="H35" s="29" t="s">
        <v>15</v>
      </c>
      <c r="I35" s="22">
        <v>4.82</v>
      </c>
      <c r="J35" s="23">
        <f>6.25*35</f>
        <v>218.75</v>
      </c>
      <c r="K35" s="17"/>
      <c r="L35" s="29" t="s">
        <v>15</v>
      </c>
      <c r="M35" s="22">
        <v>6.45</v>
      </c>
      <c r="N35" s="23">
        <f>3.2*35</f>
        <v>112</v>
      </c>
      <c r="O35" s="17"/>
      <c r="P35" s="29" t="s">
        <v>15</v>
      </c>
      <c r="Q35" s="22">
        <v>12.5</v>
      </c>
      <c r="R35" s="23">
        <f>3.3*35</f>
        <v>115.5</v>
      </c>
      <c r="S35" s="17"/>
      <c r="T35" s="29" t="s">
        <v>15</v>
      </c>
      <c r="U35" s="22">
        <v>11.5</v>
      </c>
      <c r="V35" s="23">
        <f>9.9*35</f>
        <v>346.5</v>
      </c>
    </row>
    <row r="36" spans="1:23" s="82" customFormat="1" ht="23.1" customHeight="1">
      <c r="A36" s="110"/>
      <c r="B36" s="7" t="s">
        <v>3</v>
      </c>
      <c r="C36" s="13"/>
      <c r="D36" s="29" t="s">
        <v>15</v>
      </c>
      <c r="E36" s="22">
        <v>4.08</v>
      </c>
      <c r="F36" s="23">
        <f>6.75*35</f>
        <v>236.25</v>
      </c>
      <c r="G36" s="17"/>
      <c r="H36" s="29" t="s">
        <v>15</v>
      </c>
      <c r="I36" s="22">
        <v>4.74</v>
      </c>
      <c r="J36" s="23">
        <f>5.7*35</f>
        <v>199.5</v>
      </c>
      <c r="K36" s="17"/>
      <c r="L36" s="29" t="s">
        <v>15</v>
      </c>
      <c r="M36" s="22">
        <v>4.6900000000000004</v>
      </c>
      <c r="N36" s="23">
        <f>7.2*35</f>
        <v>252</v>
      </c>
      <c r="O36" s="17"/>
      <c r="P36" s="29" t="s">
        <v>15</v>
      </c>
      <c r="Q36" s="22">
        <v>4.6500000000000004</v>
      </c>
      <c r="R36" s="23">
        <f>4.38*35</f>
        <v>153.29999999999998</v>
      </c>
      <c r="S36" s="17"/>
      <c r="T36" s="29" t="s">
        <v>15</v>
      </c>
      <c r="U36" s="22">
        <v>4.8600000000000003</v>
      </c>
      <c r="V36" s="23">
        <f>4.8*35</f>
        <v>168</v>
      </c>
    </row>
    <row r="37" spans="1:23" s="82" customFormat="1" ht="23.1" customHeight="1" thickBot="1">
      <c r="A37" s="111"/>
      <c r="B37" s="8" t="s">
        <v>4</v>
      </c>
      <c r="C37" s="13"/>
      <c r="D37" s="30" t="s">
        <v>15</v>
      </c>
      <c r="E37" s="24">
        <v>3.81</v>
      </c>
      <c r="F37" s="25">
        <f>7.84*35</f>
        <v>274.39999999999998</v>
      </c>
      <c r="G37" s="17"/>
      <c r="H37" s="30" t="s">
        <v>15</v>
      </c>
      <c r="I37" s="24">
        <v>3.65</v>
      </c>
      <c r="J37" s="25">
        <f>6.34*35</f>
        <v>221.9</v>
      </c>
      <c r="K37" s="17"/>
      <c r="L37" s="30" t="s">
        <v>15</v>
      </c>
      <c r="M37" s="24">
        <v>3.35</v>
      </c>
      <c r="N37" s="25">
        <f>7.38*35</f>
        <v>258.3</v>
      </c>
      <c r="O37" s="17"/>
      <c r="P37" s="30" t="s">
        <v>15</v>
      </c>
      <c r="Q37" s="24">
        <v>4.55</v>
      </c>
      <c r="R37" s="25">
        <f>8.5*35</f>
        <v>297.5</v>
      </c>
      <c r="S37" s="17"/>
      <c r="T37" s="30" t="s">
        <v>15</v>
      </c>
      <c r="U37" s="36"/>
      <c r="V37" s="37"/>
    </row>
    <row r="38" spans="1:23" s="82" customFormat="1" ht="4.5" customHeight="1" thickBot="1">
      <c r="A38" s="14"/>
      <c r="B38" s="15"/>
      <c r="C38" s="13"/>
      <c r="D38" s="32"/>
      <c r="E38" s="26"/>
      <c r="F38" s="26"/>
      <c r="G38" s="17"/>
      <c r="H38" s="32"/>
      <c r="I38" s="26"/>
      <c r="J38" s="26"/>
      <c r="K38" s="13"/>
      <c r="L38" s="32"/>
      <c r="M38" s="26"/>
      <c r="N38" s="26"/>
      <c r="O38" s="13"/>
      <c r="P38" s="32"/>
      <c r="Q38" s="26"/>
      <c r="R38" s="26"/>
      <c r="S38" s="13"/>
      <c r="T38" s="32"/>
      <c r="U38" s="26"/>
      <c r="V38" s="26"/>
    </row>
    <row r="39" spans="1:23" s="82" customFormat="1" ht="23.1" customHeight="1">
      <c r="A39" s="102" t="s">
        <v>14</v>
      </c>
      <c r="B39" s="6" t="s">
        <v>1</v>
      </c>
      <c r="C39" s="13"/>
      <c r="D39" s="28" t="s">
        <v>11</v>
      </c>
      <c r="E39" s="20">
        <v>5.51</v>
      </c>
      <c r="F39" s="21">
        <f>10.6*35</f>
        <v>371</v>
      </c>
      <c r="G39" s="17"/>
      <c r="H39" s="28" t="s">
        <v>11</v>
      </c>
      <c r="I39" s="20">
        <v>5.0199999999999996</v>
      </c>
      <c r="J39" s="21">
        <f>11*35</f>
        <v>385</v>
      </c>
      <c r="K39" s="17"/>
      <c r="L39" s="28" t="s">
        <v>11</v>
      </c>
      <c r="M39" s="20">
        <v>6.37</v>
      </c>
      <c r="N39" s="21">
        <f>6.15*35</f>
        <v>215.25</v>
      </c>
      <c r="O39" s="17"/>
      <c r="P39" s="28" t="s">
        <v>11</v>
      </c>
      <c r="Q39" s="20">
        <v>4.41</v>
      </c>
      <c r="R39" s="21">
        <f>10.1*35</f>
        <v>353.5</v>
      </c>
      <c r="S39" s="17"/>
      <c r="T39" s="28" t="s">
        <v>11</v>
      </c>
      <c r="U39" s="20">
        <v>4.6100000000000003</v>
      </c>
      <c r="V39" s="21">
        <f>4.11*35</f>
        <v>143.85000000000002</v>
      </c>
    </row>
    <row r="40" spans="1:23" s="82" customFormat="1" ht="23.1" customHeight="1">
      <c r="A40" s="103"/>
      <c r="B40" s="7" t="s">
        <v>2</v>
      </c>
      <c r="C40" s="13"/>
      <c r="D40" s="29" t="s">
        <v>11</v>
      </c>
      <c r="E40" s="22">
        <v>6.85</v>
      </c>
      <c r="F40" s="23">
        <f>7.55*35</f>
        <v>264.25</v>
      </c>
      <c r="G40" s="17"/>
      <c r="H40" s="29" t="s">
        <v>11</v>
      </c>
      <c r="I40" s="22">
        <v>9.67</v>
      </c>
      <c r="J40" s="23">
        <f>6.3*35</f>
        <v>220.5</v>
      </c>
      <c r="K40" s="17"/>
      <c r="L40" s="29" t="s">
        <v>11</v>
      </c>
      <c r="M40" s="22">
        <v>8.6300000000000008</v>
      </c>
      <c r="N40" s="23">
        <f>3.75*35</f>
        <v>131.25</v>
      </c>
      <c r="O40" s="17"/>
      <c r="P40" s="29" t="s">
        <v>11</v>
      </c>
      <c r="Q40" s="22">
        <v>5.2</v>
      </c>
      <c r="R40" s="23">
        <f>2.56*35</f>
        <v>89.600000000000009</v>
      </c>
      <c r="S40" s="17"/>
      <c r="T40" s="29" t="s">
        <v>11</v>
      </c>
      <c r="U40" s="22">
        <v>6.6</v>
      </c>
      <c r="V40" s="23">
        <f>5.22*35</f>
        <v>182.7</v>
      </c>
    </row>
    <row r="41" spans="1:23" s="82" customFormat="1" ht="23.1" customHeight="1">
      <c r="A41" s="103"/>
      <c r="B41" s="7" t="s">
        <v>3</v>
      </c>
      <c r="C41" s="13"/>
      <c r="D41" s="29" t="s">
        <v>11</v>
      </c>
      <c r="E41" s="22">
        <v>4.29</v>
      </c>
      <c r="F41" s="23">
        <f>7.15*35</f>
        <v>250.25</v>
      </c>
      <c r="G41" s="17"/>
      <c r="H41" s="29" t="s">
        <v>11</v>
      </c>
      <c r="I41" s="22">
        <v>4.53</v>
      </c>
      <c r="J41" s="23">
        <f>4.65*35</f>
        <v>162.75</v>
      </c>
      <c r="K41" s="17"/>
      <c r="L41" s="29" t="s">
        <v>11</v>
      </c>
      <c r="M41" s="22">
        <v>4.53</v>
      </c>
      <c r="N41" s="23">
        <f>7.35*35</f>
        <v>257.25</v>
      </c>
      <c r="O41" s="17"/>
      <c r="P41" s="29" t="s">
        <v>11</v>
      </c>
      <c r="Q41" s="22">
        <v>3.98</v>
      </c>
      <c r="R41" s="23">
        <f>3.52*35</f>
        <v>123.2</v>
      </c>
      <c r="S41" s="17"/>
      <c r="T41" s="29" t="s">
        <v>11</v>
      </c>
      <c r="U41" s="22">
        <v>4.9000000000000004</v>
      </c>
      <c r="V41" s="23">
        <f>4.45*35</f>
        <v>155.75</v>
      </c>
    </row>
    <row r="42" spans="1:23" s="82" customFormat="1" ht="23.1" customHeight="1" thickBot="1">
      <c r="A42" s="104"/>
      <c r="B42" s="8" t="s">
        <v>4</v>
      </c>
      <c r="C42" s="13"/>
      <c r="D42" s="30" t="s">
        <v>11</v>
      </c>
      <c r="E42" s="24">
        <v>3.58</v>
      </c>
      <c r="F42" s="25">
        <f>5.48*35</f>
        <v>191.8</v>
      </c>
      <c r="G42" s="17"/>
      <c r="H42" s="30" t="s">
        <v>11</v>
      </c>
      <c r="I42" s="24">
        <v>4.57</v>
      </c>
      <c r="J42" s="25">
        <f>9.9*35</f>
        <v>346.5</v>
      </c>
      <c r="K42" s="17"/>
      <c r="L42" s="30" t="s">
        <v>11</v>
      </c>
      <c r="M42" s="24">
        <v>4.1399999999999997</v>
      </c>
      <c r="N42" s="25">
        <f>6.25*35</f>
        <v>218.75</v>
      </c>
      <c r="O42" s="17"/>
      <c r="P42" s="30" t="s">
        <v>11</v>
      </c>
      <c r="Q42" s="24">
        <v>3.75</v>
      </c>
      <c r="R42" s="25">
        <f>4.21*35</f>
        <v>147.35</v>
      </c>
      <c r="S42" s="17"/>
      <c r="T42" s="30" t="s">
        <v>11</v>
      </c>
      <c r="U42" s="36"/>
      <c r="V42" s="37"/>
    </row>
    <row r="43" spans="1:23" s="82" customFormat="1" ht="4.5" customHeight="1">
      <c r="A43" s="17"/>
      <c r="B43" s="17"/>
      <c r="C43" s="13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3" s="82" customFormat="1" ht="15" thickBot="1">
      <c r="C44" s="83"/>
    </row>
    <row r="45" spans="1:23" s="82" customFormat="1" ht="15">
      <c r="A45" s="1"/>
      <c r="B45" s="9" t="s">
        <v>9</v>
      </c>
      <c r="C45" s="83"/>
      <c r="D45" s="108">
        <v>40516</v>
      </c>
      <c r="E45" s="106"/>
      <c r="F45" s="107"/>
      <c r="G45" s="1"/>
      <c r="H45" s="108">
        <v>40555</v>
      </c>
      <c r="I45" s="106"/>
      <c r="J45" s="107"/>
      <c r="K45" s="1"/>
      <c r="L45" s="108">
        <v>40593</v>
      </c>
      <c r="M45" s="106"/>
      <c r="N45" s="107"/>
      <c r="O45" s="1"/>
      <c r="P45" s="108">
        <v>40631</v>
      </c>
      <c r="Q45" s="106"/>
      <c r="R45" s="107"/>
      <c r="S45" s="1"/>
      <c r="T45" s="108">
        <v>40675</v>
      </c>
      <c r="U45" s="106"/>
      <c r="V45" s="107"/>
      <c r="W45" s="1"/>
    </row>
    <row r="46" spans="1:23" s="82" customFormat="1" ht="45.75" thickBot="1">
      <c r="A46" s="2"/>
      <c r="B46" s="2"/>
      <c r="C46" s="83"/>
      <c r="D46" s="63" t="s">
        <v>6</v>
      </c>
      <c r="E46" s="61" t="s">
        <v>7</v>
      </c>
      <c r="F46" s="64" t="s">
        <v>8</v>
      </c>
      <c r="G46" s="2"/>
      <c r="H46" s="63" t="s">
        <v>6</v>
      </c>
      <c r="I46" s="61" t="s">
        <v>7</v>
      </c>
      <c r="J46" s="64" t="s">
        <v>8</v>
      </c>
      <c r="K46" s="2"/>
      <c r="L46" s="63" t="s">
        <v>6</v>
      </c>
      <c r="M46" s="61" t="s">
        <v>7</v>
      </c>
      <c r="N46" s="64" t="s">
        <v>8</v>
      </c>
      <c r="O46" s="2"/>
      <c r="P46" s="63" t="s">
        <v>6</v>
      </c>
      <c r="Q46" s="61" t="s">
        <v>7</v>
      </c>
      <c r="R46" s="64" t="s">
        <v>8</v>
      </c>
      <c r="S46" s="2"/>
      <c r="T46" s="63" t="s">
        <v>6</v>
      </c>
      <c r="U46" s="61" t="s">
        <v>7</v>
      </c>
      <c r="V46" s="64" t="s">
        <v>8</v>
      </c>
      <c r="W46" s="2"/>
    </row>
    <row r="47" spans="1:23" s="82" customFormat="1" ht="4.5" customHeight="1" thickBot="1">
      <c r="A47" s="17"/>
      <c r="B47" s="17"/>
      <c r="C47" s="13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s="82" customFormat="1" ht="23.1" customHeight="1">
      <c r="A48" s="109" t="s">
        <v>13</v>
      </c>
      <c r="B48" s="6" t="s">
        <v>1</v>
      </c>
      <c r="C48" s="13"/>
      <c r="D48" s="28" t="s">
        <v>15</v>
      </c>
      <c r="E48" s="20">
        <v>5.43</v>
      </c>
      <c r="F48" s="21">
        <f>4.04*35</f>
        <v>141.4</v>
      </c>
      <c r="G48" s="17"/>
      <c r="H48" s="28" t="s">
        <v>15</v>
      </c>
      <c r="I48" s="20">
        <v>4.16</v>
      </c>
      <c r="J48" s="21">
        <f>2.42*35</f>
        <v>84.7</v>
      </c>
      <c r="K48" s="17"/>
      <c r="L48" s="28" t="s">
        <v>15</v>
      </c>
      <c r="M48" s="20">
        <v>4.4800000000000004</v>
      </c>
      <c r="N48" s="21">
        <f>3.26*35</f>
        <v>114.1</v>
      </c>
      <c r="O48" s="17"/>
      <c r="P48" s="28" t="s">
        <v>15</v>
      </c>
      <c r="Q48" s="20">
        <v>2.0099999999999998</v>
      </c>
      <c r="R48" s="21">
        <f>0.63*35</f>
        <v>22.05</v>
      </c>
      <c r="S48" s="17"/>
      <c r="T48" s="28" t="s">
        <v>15</v>
      </c>
      <c r="U48" s="20">
        <v>5.69</v>
      </c>
      <c r="V48" s="21">
        <f>13.7*35</f>
        <v>479.5</v>
      </c>
      <c r="W48" s="17"/>
    </row>
    <row r="49" spans="1:23" s="82" customFormat="1" ht="23.1" customHeight="1">
      <c r="A49" s="110"/>
      <c r="B49" s="7" t="s">
        <v>2</v>
      </c>
      <c r="C49" s="13"/>
      <c r="D49" s="29" t="s">
        <v>15</v>
      </c>
      <c r="E49" s="22">
        <v>5.73</v>
      </c>
      <c r="F49" s="23">
        <f>3.35*35</f>
        <v>117.25</v>
      </c>
      <c r="G49" s="17"/>
      <c r="H49" s="29" t="s">
        <v>15</v>
      </c>
      <c r="I49" s="22">
        <v>12</v>
      </c>
      <c r="J49" s="23">
        <f>2.76*35</f>
        <v>96.6</v>
      </c>
      <c r="K49" s="17"/>
      <c r="L49" s="29" t="s">
        <v>15</v>
      </c>
      <c r="M49" s="22">
        <v>5.31</v>
      </c>
      <c r="N49" s="23">
        <f>3.39*35</f>
        <v>118.65</v>
      </c>
      <c r="O49" s="17"/>
      <c r="P49" s="29" t="s">
        <v>15</v>
      </c>
      <c r="Q49" s="22">
        <v>2.91</v>
      </c>
      <c r="R49" s="23">
        <f>0.58*35</f>
        <v>20.299999999999997</v>
      </c>
      <c r="S49" s="17"/>
      <c r="T49" s="29" t="s">
        <v>15</v>
      </c>
      <c r="U49" s="22">
        <v>4.92</v>
      </c>
      <c r="V49" s="23">
        <f>4.05*35</f>
        <v>141.75</v>
      </c>
      <c r="W49" s="17"/>
    </row>
    <row r="50" spans="1:23" s="82" customFormat="1" ht="23.1" customHeight="1">
      <c r="A50" s="110"/>
      <c r="B50" s="7" t="s">
        <v>3</v>
      </c>
      <c r="C50" s="13"/>
      <c r="D50" s="29" t="s">
        <v>15</v>
      </c>
      <c r="E50" s="22">
        <v>5.16</v>
      </c>
      <c r="F50" s="23">
        <f>3.17*35</f>
        <v>110.95</v>
      </c>
      <c r="G50" s="17"/>
      <c r="H50" s="29" t="s">
        <v>15</v>
      </c>
      <c r="I50" s="22">
        <v>3.5</v>
      </c>
      <c r="J50" s="23">
        <f>1.18*35</f>
        <v>41.3</v>
      </c>
      <c r="K50" s="17"/>
      <c r="L50" s="29" t="s">
        <v>15</v>
      </c>
      <c r="M50" s="22">
        <v>3.92</v>
      </c>
      <c r="N50" s="23">
        <f>2.16*35</f>
        <v>75.600000000000009</v>
      </c>
      <c r="O50" s="17"/>
      <c r="P50" s="29" t="s">
        <v>15</v>
      </c>
      <c r="Q50" s="22">
        <v>3.36</v>
      </c>
      <c r="R50" s="23">
        <f>1.22*35</f>
        <v>42.699999999999996</v>
      </c>
      <c r="S50" s="17"/>
      <c r="T50" s="29" t="s">
        <v>15</v>
      </c>
      <c r="U50" s="22">
        <v>3.53</v>
      </c>
      <c r="V50" s="23">
        <f>3.44*35</f>
        <v>120.39999999999999</v>
      </c>
      <c r="W50" s="17"/>
    </row>
    <row r="51" spans="1:23" s="82" customFormat="1" ht="23.1" customHeight="1" thickBot="1">
      <c r="A51" s="111"/>
      <c r="B51" s="8" t="s">
        <v>4</v>
      </c>
      <c r="C51" s="13"/>
      <c r="D51" s="30" t="s">
        <v>15</v>
      </c>
      <c r="E51" s="24">
        <v>4.4000000000000004</v>
      </c>
      <c r="F51" s="25">
        <f>4.55*35</f>
        <v>159.25</v>
      </c>
      <c r="G51" s="17"/>
      <c r="H51" s="30" t="s">
        <v>15</v>
      </c>
      <c r="I51" s="46"/>
      <c r="J51" s="47"/>
      <c r="K51" s="17"/>
      <c r="L51" s="30" t="s">
        <v>15</v>
      </c>
      <c r="M51" s="46"/>
      <c r="N51" s="47"/>
      <c r="O51" s="17"/>
      <c r="P51" s="30" t="s">
        <v>15</v>
      </c>
      <c r="Q51" s="46"/>
      <c r="R51" s="47"/>
      <c r="S51" s="17"/>
      <c r="T51" s="30" t="s">
        <v>15</v>
      </c>
      <c r="U51" s="46"/>
      <c r="V51" s="47"/>
      <c r="W51" s="17"/>
    </row>
    <row r="52" spans="1:23" s="82" customFormat="1" ht="4.5" customHeight="1" thickBot="1">
      <c r="A52" s="14"/>
      <c r="B52" s="15"/>
      <c r="C52" s="13"/>
      <c r="D52" s="32"/>
      <c r="E52" s="26"/>
      <c r="F52" s="26"/>
      <c r="G52" s="13"/>
      <c r="H52" s="32"/>
      <c r="I52" s="26"/>
      <c r="J52" s="26"/>
      <c r="K52" s="13"/>
      <c r="L52" s="32"/>
      <c r="M52" s="26"/>
      <c r="N52" s="26"/>
      <c r="O52" s="13"/>
      <c r="P52" s="32"/>
      <c r="Q52" s="26"/>
      <c r="R52" s="26"/>
      <c r="S52" s="13"/>
      <c r="T52" s="32"/>
      <c r="U52" s="26"/>
      <c r="V52" s="26"/>
      <c r="W52" s="13"/>
    </row>
    <row r="53" spans="1:23" s="82" customFormat="1" ht="23.1" customHeight="1">
      <c r="A53" s="102" t="s">
        <v>14</v>
      </c>
      <c r="B53" s="6" t="s">
        <v>1</v>
      </c>
      <c r="C53" s="13"/>
      <c r="D53" s="28" t="s">
        <v>11</v>
      </c>
      <c r="E53" s="20">
        <v>4.72</v>
      </c>
      <c r="F53" s="21">
        <f>5.91*35</f>
        <v>206.85</v>
      </c>
      <c r="G53" s="17"/>
      <c r="H53" s="28" t="s">
        <v>11</v>
      </c>
      <c r="I53" s="20">
        <v>5.53</v>
      </c>
      <c r="J53" s="21">
        <f>0.33*35</f>
        <v>11.55</v>
      </c>
      <c r="K53" s="17"/>
      <c r="L53" s="28" t="s">
        <v>11</v>
      </c>
      <c r="M53" s="20">
        <v>4.46</v>
      </c>
      <c r="N53" s="21">
        <f>4.78*35</f>
        <v>167.3</v>
      </c>
      <c r="O53" s="17"/>
      <c r="P53" s="28" t="s">
        <v>11</v>
      </c>
      <c r="Q53" s="20">
        <v>3.69</v>
      </c>
      <c r="R53" s="21">
        <f>1.65*35</f>
        <v>57.75</v>
      </c>
      <c r="S53" s="17"/>
      <c r="T53" s="28" t="s">
        <v>11</v>
      </c>
      <c r="U53" s="20">
        <v>4.2</v>
      </c>
      <c r="V53" s="21">
        <f>4.66*35</f>
        <v>163.1</v>
      </c>
      <c r="W53" s="17"/>
    </row>
    <row r="54" spans="1:23" s="82" customFormat="1" ht="23.1" customHeight="1">
      <c r="A54" s="103"/>
      <c r="B54" s="7" t="s">
        <v>2</v>
      </c>
      <c r="C54" s="13"/>
      <c r="D54" s="29" t="s">
        <v>11</v>
      </c>
      <c r="E54" s="22">
        <v>4.6900000000000004</v>
      </c>
      <c r="F54" s="23">
        <f>4.71*35</f>
        <v>164.85</v>
      </c>
      <c r="G54" s="17"/>
      <c r="H54" s="29" t="s">
        <v>11</v>
      </c>
      <c r="I54" s="22">
        <v>8.06</v>
      </c>
      <c r="J54" s="23">
        <f>7.74*35</f>
        <v>270.90000000000003</v>
      </c>
      <c r="K54" s="17"/>
      <c r="L54" s="29" t="s">
        <v>11</v>
      </c>
      <c r="M54" s="22">
        <v>5.0999999999999996</v>
      </c>
      <c r="N54" s="23">
        <f>3.13*35</f>
        <v>109.55</v>
      </c>
      <c r="O54" s="17"/>
      <c r="P54" s="29" t="s">
        <v>11</v>
      </c>
      <c r="Q54" s="22">
        <v>3.64</v>
      </c>
      <c r="R54" s="23">
        <f>1.26*35</f>
        <v>44.1</v>
      </c>
      <c r="S54" s="17"/>
      <c r="T54" s="29" t="s">
        <v>11</v>
      </c>
      <c r="U54" s="22">
        <v>4.04</v>
      </c>
      <c r="V54" s="23">
        <f>3.38*35</f>
        <v>118.3</v>
      </c>
      <c r="W54" s="17"/>
    </row>
    <row r="55" spans="1:23" s="82" customFormat="1" ht="23.1" customHeight="1">
      <c r="A55" s="103"/>
      <c r="B55" s="7" t="s">
        <v>3</v>
      </c>
      <c r="C55" s="13"/>
      <c r="D55" s="29" t="s">
        <v>11</v>
      </c>
      <c r="E55" s="22">
        <v>4.5</v>
      </c>
      <c r="F55" s="23">
        <f>0.28*35</f>
        <v>9.8000000000000007</v>
      </c>
      <c r="G55" s="17"/>
      <c r="H55" s="29" t="s">
        <v>11</v>
      </c>
      <c r="I55" s="22">
        <v>3.75</v>
      </c>
      <c r="J55" s="23">
        <f>3.34*35</f>
        <v>116.89999999999999</v>
      </c>
      <c r="K55" s="17"/>
      <c r="L55" s="29" t="s">
        <v>11</v>
      </c>
      <c r="M55" s="22">
        <v>3.71</v>
      </c>
      <c r="N55" s="23">
        <f>3.68*35</f>
        <v>128.80000000000001</v>
      </c>
      <c r="O55" s="17"/>
      <c r="P55" s="29" t="s">
        <v>11</v>
      </c>
      <c r="Q55" s="22">
        <v>3.78</v>
      </c>
      <c r="R55" s="23">
        <f>1.22*35</f>
        <v>42.699999999999996</v>
      </c>
      <c r="S55" s="17"/>
      <c r="T55" s="29" t="s">
        <v>11</v>
      </c>
      <c r="U55" s="22">
        <v>3.72</v>
      </c>
      <c r="V55" s="23">
        <f>3.19*35</f>
        <v>111.64999999999999</v>
      </c>
      <c r="W55" s="17"/>
    </row>
    <row r="56" spans="1:23" s="82" customFormat="1" ht="23.1" customHeight="1" thickBot="1">
      <c r="A56" s="104"/>
      <c r="B56" s="8" t="s">
        <v>4</v>
      </c>
      <c r="C56" s="13"/>
      <c r="D56" s="30" t="s">
        <v>11</v>
      </c>
      <c r="E56" s="24">
        <v>5.38</v>
      </c>
      <c r="F56" s="25">
        <f>5.09*35</f>
        <v>178.15</v>
      </c>
      <c r="G56" s="17"/>
      <c r="H56" s="30" t="s">
        <v>11</v>
      </c>
      <c r="I56" s="46"/>
      <c r="J56" s="47"/>
      <c r="K56" s="17"/>
      <c r="L56" s="30" t="s">
        <v>11</v>
      </c>
      <c r="M56" s="46"/>
      <c r="N56" s="47"/>
      <c r="O56" s="17"/>
      <c r="P56" s="30" t="s">
        <v>11</v>
      </c>
      <c r="Q56" s="46"/>
      <c r="R56" s="47"/>
      <c r="S56" s="17"/>
      <c r="T56" s="30" t="s">
        <v>11</v>
      </c>
      <c r="U56" s="46"/>
      <c r="V56" s="47"/>
      <c r="W56" s="17"/>
    </row>
    <row r="57" spans="1:23" s="82" customFormat="1" ht="4.5" customHeight="1">
      <c r="A57" s="17"/>
      <c r="B57" s="17"/>
      <c r="C57" s="13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 s="82" customFormat="1">
      <c r="C58" s="83"/>
    </row>
    <row r="59" spans="1:23" s="82" customFormat="1">
      <c r="C59" s="83"/>
    </row>
    <row r="60" spans="1:23" s="82" customFormat="1" ht="15">
      <c r="B60" s="18" t="s">
        <v>92</v>
      </c>
      <c r="C60" s="83"/>
    </row>
    <row r="61" spans="1:23" s="82" customFormat="1">
      <c r="C61" s="83"/>
    </row>
    <row r="62" spans="1:23" s="82" customFormat="1">
      <c r="C62" s="83"/>
    </row>
    <row r="63" spans="1:23" s="82" customFormat="1">
      <c r="C63" s="83"/>
    </row>
    <row r="64" spans="1:23" s="82" customFormat="1">
      <c r="C64" s="83"/>
    </row>
    <row r="65" spans="3:19" s="82" customFormat="1">
      <c r="C65" s="83"/>
    </row>
    <row r="66" spans="3:19" s="82" customFormat="1">
      <c r="C66" s="83"/>
    </row>
    <row r="67" spans="3:19" s="82" customFormat="1">
      <c r="C67" s="83"/>
    </row>
    <row r="68" spans="3:19" s="82" customFormat="1">
      <c r="C68" s="83"/>
    </row>
    <row r="70" spans="3:19">
      <c r="P70" s="2"/>
      <c r="Q70" s="2"/>
      <c r="R70" s="2"/>
      <c r="S70" s="2"/>
    </row>
    <row r="75" spans="3:19">
      <c r="P75" s="3"/>
      <c r="Q75" s="3"/>
      <c r="R75" s="3"/>
      <c r="S75" s="3"/>
    </row>
  </sheetData>
  <mergeCells count="28">
    <mergeCell ref="A11:A14"/>
    <mergeCell ref="L3:N3"/>
    <mergeCell ref="T3:V3"/>
    <mergeCell ref="P3:R3"/>
    <mergeCell ref="D3:F3"/>
    <mergeCell ref="H3:J3"/>
    <mergeCell ref="A6:A9"/>
    <mergeCell ref="L45:N45"/>
    <mergeCell ref="D31:F31"/>
    <mergeCell ref="T17:V17"/>
    <mergeCell ref="P17:R17"/>
    <mergeCell ref="L17:N17"/>
    <mergeCell ref="H17:J17"/>
    <mergeCell ref="D17:F17"/>
    <mergeCell ref="P31:R31"/>
    <mergeCell ref="T31:V31"/>
    <mergeCell ref="D45:F45"/>
    <mergeCell ref="H45:J45"/>
    <mergeCell ref="H31:J31"/>
    <mergeCell ref="L31:N31"/>
    <mergeCell ref="P45:R45"/>
    <mergeCell ref="T45:V45"/>
    <mergeCell ref="A34:A37"/>
    <mergeCell ref="A39:A42"/>
    <mergeCell ref="A48:A51"/>
    <mergeCell ref="A53:A56"/>
    <mergeCell ref="A20:A23"/>
    <mergeCell ref="A25:A28"/>
  </mergeCells>
  <printOptions horizontalCentered="1" verticalCentered="1"/>
  <pageMargins left="0.16" right="0.16" top="0" bottom="0.26" header="0.33" footer="0.16"/>
  <pageSetup scale="79" orientation="landscape" horizontalDpi="300" verticalDpi="300" r:id="rId1"/>
  <rowBreaks count="1" manualBreakCount="1">
    <brk id="29" max="2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M105"/>
  <sheetViews>
    <sheetView view="pageBreakPreview" zoomScale="60" zoomScaleNormal="70" workbookViewId="0">
      <selection activeCell="P179" sqref="P179"/>
    </sheetView>
  </sheetViews>
  <sheetFormatPr defaultRowHeight="15"/>
  <cols>
    <col min="1" max="16384" width="9.140625" style="81"/>
  </cols>
  <sheetData>
    <row r="1" spans="1:13">
      <c r="A1" s="123" t="s">
        <v>177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177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69" spans="1:13">
      <c r="A69" s="123" t="s">
        <v>178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  <row r="70" spans="1:13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</row>
    <row r="71" spans="1:13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103" spans="1:13">
      <c r="A103" s="123" t="s">
        <v>178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</row>
    <row r="104" spans="1:13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</row>
    <row r="105" spans="1:13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</row>
  </sheetData>
  <mergeCells count="4">
    <mergeCell ref="A1:M3"/>
    <mergeCell ref="A35:M37"/>
    <mergeCell ref="A69:M71"/>
    <mergeCell ref="A103:M105"/>
  </mergeCells>
  <pageMargins left="0.7" right="0.7" top="0.75" bottom="0.75" header="0.3" footer="0.3"/>
  <pageSetup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topLeftCell="A31" zoomScale="60" zoomScaleNormal="70" workbookViewId="0">
      <selection activeCell="P179" sqref="P179"/>
    </sheetView>
  </sheetViews>
  <sheetFormatPr defaultRowHeight="15"/>
  <cols>
    <col min="1" max="16384" width="9.140625" style="81"/>
  </cols>
  <sheetData>
    <row r="1" spans="1:13">
      <c r="A1" s="123" t="s">
        <v>154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154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</sheetData>
  <mergeCells count="2">
    <mergeCell ref="A1:M3"/>
    <mergeCell ref="A35:M37"/>
  </mergeCells>
  <pageMargins left="0.7" right="0.7" top="0.75" bottom="0.75" header="0.3" footer="0.3"/>
  <pageSetup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topLeftCell="A28" zoomScale="60" zoomScaleNormal="70" workbookViewId="0">
      <selection activeCell="R202" sqref="R202"/>
    </sheetView>
  </sheetViews>
  <sheetFormatPr defaultRowHeight="15"/>
  <cols>
    <col min="1" max="16384" width="9.140625" style="81"/>
  </cols>
  <sheetData>
    <row r="1" spans="1:13">
      <c r="A1" s="123" t="s">
        <v>155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155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</sheetData>
  <mergeCells count="2">
    <mergeCell ref="A1:M3"/>
    <mergeCell ref="A35:M37"/>
  </mergeCells>
  <pageMargins left="0.7" right="0.7" top="0.75" bottom="0.75" header="0.3" footer="0.3"/>
  <pageSetup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zoomScale="60" zoomScaleNormal="70" workbookViewId="0">
      <selection activeCell="P179" sqref="P179"/>
    </sheetView>
  </sheetViews>
  <sheetFormatPr defaultRowHeight="15"/>
  <cols>
    <col min="1" max="16384" width="9.140625" style="81"/>
  </cols>
  <sheetData>
    <row r="1" spans="1:13">
      <c r="A1" s="123" t="s">
        <v>160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160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</sheetData>
  <mergeCells count="2">
    <mergeCell ref="A1:M3"/>
    <mergeCell ref="A35:M37"/>
  </mergeCells>
  <pageMargins left="0.7" right="0.7" top="0.75" bottom="0.75" header="0.3" footer="0.3"/>
  <pageSetup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zoomScale="60" zoomScaleNormal="70" workbookViewId="0">
      <selection activeCell="Q63" sqref="Q63"/>
    </sheetView>
  </sheetViews>
  <sheetFormatPr defaultRowHeight="15"/>
  <cols>
    <col min="1" max="16384" width="9.140625" style="81"/>
  </cols>
  <sheetData>
    <row r="1" spans="1:13">
      <c r="A1" s="123" t="s">
        <v>165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165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</sheetData>
  <mergeCells count="2">
    <mergeCell ref="A1:M3"/>
    <mergeCell ref="A35:M37"/>
  </mergeCells>
  <pageMargins left="0.7" right="0.7" top="0.75" bottom="0.75" header="0.3" footer="0.3"/>
  <pageSetup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7"/>
  <sheetViews>
    <sheetView tabSelected="1" view="pageBreakPreview" topLeftCell="A34" zoomScale="60" zoomScaleNormal="70" workbookViewId="0">
      <selection activeCell="S56" sqref="S56"/>
    </sheetView>
  </sheetViews>
  <sheetFormatPr defaultRowHeight="15"/>
  <cols>
    <col min="1" max="16384" width="9.140625" style="81"/>
  </cols>
  <sheetData>
    <row r="1" spans="1:13">
      <c r="A1" s="123" t="s">
        <v>170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35" spans="1:13">
      <c r="A35" s="123" t="s">
        <v>170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</row>
    <row r="36" spans="1:1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</sheetData>
  <mergeCells count="2">
    <mergeCell ref="A1:M3"/>
    <mergeCell ref="A35:M37"/>
  </mergeCells>
  <pageMargins left="0.7" right="0.7" top="0.75" bottom="0.75" header="0.3" footer="0.3"/>
  <pageSetup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61"/>
  <sheetViews>
    <sheetView view="pageBreakPreview" topLeftCell="I37" zoomScale="85" zoomScaleNormal="100" zoomScaleSheetLayoutView="85" workbookViewId="0">
      <selection activeCell="R47" sqref="R47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22" width="10.42578125" style="1" customWidth="1"/>
    <col min="23" max="23" width="0.85546875" style="1" customWidth="1"/>
    <col min="24" max="26" width="10.42578125" style="1" customWidth="1"/>
    <col min="27" max="27" width="0.85546875" style="1" customWidth="1"/>
    <col min="28" max="30" width="10.42578125" style="1" customWidth="1"/>
    <col min="31" max="31" width="0.85546875" style="1" customWidth="1"/>
    <col min="32" max="34" width="10.42578125" style="1" customWidth="1"/>
    <col min="35" max="35" width="0.85546875" style="1" customWidth="1"/>
    <col min="36" max="38" width="10.42578125" style="1" customWidth="1"/>
    <col min="39" max="39" width="0.85546875" style="1" customWidth="1"/>
    <col min="40" max="42" width="10.42578125" style="1" customWidth="1"/>
    <col min="43" max="43" width="0.85546875" style="1" customWidth="1"/>
    <col min="44" max="46" width="10.42578125" style="1" customWidth="1"/>
    <col min="47" max="47" width="0.85546875" style="1" customWidth="1"/>
    <col min="48" max="50" width="10.42578125" style="1" customWidth="1"/>
    <col min="51" max="51" width="0.85546875" style="1" customWidth="1"/>
    <col min="52" max="54" width="10.42578125" style="1" customWidth="1"/>
    <col min="55" max="55" width="0.85546875" style="1" customWidth="1"/>
    <col min="56" max="58" width="10.42578125" style="1" customWidth="1"/>
    <col min="59" max="59" width="0.85546875" style="1" customWidth="1"/>
    <col min="60" max="16384" width="9.140625" style="1"/>
  </cols>
  <sheetData>
    <row r="1" spans="1:23" ht="23.25">
      <c r="A1" s="86" t="s">
        <v>140</v>
      </c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3" ht="15" thickBot="1"/>
    <row r="3" spans="1:23" ht="15">
      <c r="B3" s="9" t="s">
        <v>9</v>
      </c>
      <c r="D3" s="108">
        <v>40375</v>
      </c>
      <c r="E3" s="106"/>
      <c r="F3" s="107"/>
      <c r="H3" s="108">
        <v>40389</v>
      </c>
      <c r="I3" s="106"/>
      <c r="J3" s="107"/>
      <c r="L3" s="108">
        <v>40396</v>
      </c>
      <c r="M3" s="106"/>
      <c r="N3" s="107"/>
      <c r="P3" s="108">
        <v>40408</v>
      </c>
      <c r="Q3" s="106"/>
      <c r="R3" s="107"/>
      <c r="T3" s="108">
        <v>40417</v>
      </c>
      <c r="U3" s="106"/>
      <c r="V3" s="107"/>
    </row>
    <row r="4" spans="1:23" s="2" customFormat="1" ht="45.75" thickBot="1">
      <c r="C4" s="4"/>
      <c r="D4" s="63" t="s">
        <v>6</v>
      </c>
      <c r="E4" s="61" t="s">
        <v>7</v>
      </c>
      <c r="F4" s="64" t="s">
        <v>8</v>
      </c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  <c r="T4" s="63" t="s">
        <v>6</v>
      </c>
      <c r="U4" s="61" t="s">
        <v>7</v>
      </c>
      <c r="V4" s="64" t="s">
        <v>8</v>
      </c>
    </row>
    <row r="5" spans="1:23" ht="5.0999999999999996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23.1" customHeight="1">
      <c r="A6" s="109" t="s">
        <v>13</v>
      </c>
      <c r="B6" s="6" t="s">
        <v>1</v>
      </c>
      <c r="C6" s="13"/>
      <c r="D6" s="10" t="s">
        <v>11</v>
      </c>
      <c r="E6" s="20">
        <v>3.71</v>
      </c>
      <c r="F6" s="21">
        <f>4.66*35</f>
        <v>163.1</v>
      </c>
      <c r="G6" s="17"/>
      <c r="H6" s="10" t="s">
        <v>11</v>
      </c>
      <c r="I6" s="20">
        <v>4.2699999999999996</v>
      </c>
      <c r="J6" s="21">
        <f>10.3*35</f>
        <v>360.5</v>
      </c>
      <c r="K6" s="17"/>
      <c r="L6" s="10" t="s">
        <v>11</v>
      </c>
      <c r="M6" s="20">
        <v>3.18</v>
      </c>
      <c r="N6" s="21">
        <f>1.44*35</f>
        <v>50.4</v>
      </c>
      <c r="O6" s="17"/>
      <c r="P6" s="10" t="s">
        <v>11</v>
      </c>
      <c r="Q6" s="20">
        <v>4.71</v>
      </c>
      <c r="R6" s="21">
        <f>7.52*35</f>
        <v>263.2</v>
      </c>
      <c r="S6" s="17"/>
      <c r="T6" s="10" t="s">
        <v>11</v>
      </c>
      <c r="U6" s="20">
        <v>4.82</v>
      </c>
      <c r="V6" s="21">
        <f>8.76*35</f>
        <v>306.59999999999997</v>
      </c>
      <c r="W6" s="17"/>
    </row>
    <row r="7" spans="1:23" ht="23.1" customHeight="1">
      <c r="A7" s="110"/>
      <c r="B7" s="7" t="s">
        <v>2</v>
      </c>
      <c r="C7" s="13"/>
      <c r="D7" s="11" t="s">
        <v>11</v>
      </c>
      <c r="E7" s="22">
        <v>3.63</v>
      </c>
      <c r="F7" s="23">
        <f>3.9*35</f>
        <v>136.5</v>
      </c>
      <c r="G7" s="17"/>
      <c r="H7" s="11" t="s">
        <v>11</v>
      </c>
      <c r="I7" s="22">
        <v>3.61</v>
      </c>
      <c r="J7" s="23">
        <f>4.98*35</f>
        <v>174.3</v>
      </c>
      <c r="K7" s="17"/>
      <c r="L7" s="11" t="s">
        <v>11</v>
      </c>
      <c r="M7" s="22">
        <v>3.36</v>
      </c>
      <c r="N7" s="23">
        <f>3.3*35</f>
        <v>115.5</v>
      </c>
      <c r="O7" s="17"/>
      <c r="P7" s="11" t="s">
        <v>11</v>
      </c>
      <c r="Q7" s="22">
        <v>5.18</v>
      </c>
      <c r="R7" s="23">
        <f>10.9*35</f>
        <v>381.5</v>
      </c>
      <c r="S7" s="17"/>
      <c r="T7" s="11" t="s">
        <v>11</v>
      </c>
      <c r="U7" s="22">
        <v>3.96</v>
      </c>
      <c r="V7" s="23">
        <f>3.9*35</f>
        <v>136.5</v>
      </c>
      <c r="W7" s="17"/>
    </row>
    <row r="8" spans="1:23" ht="23.1" customHeight="1">
      <c r="A8" s="110"/>
      <c r="B8" s="7" t="s">
        <v>3</v>
      </c>
      <c r="C8" s="13"/>
      <c r="D8" s="11" t="s">
        <v>11</v>
      </c>
      <c r="E8" s="22">
        <v>2.09</v>
      </c>
      <c r="F8" s="23">
        <f>4.78*35</f>
        <v>167.3</v>
      </c>
      <c r="G8" s="17"/>
      <c r="H8" s="11" t="s">
        <v>11</v>
      </c>
      <c r="I8" s="22">
        <v>2.5</v>
      </c>
      <c r="J8" s="23">
        <f>2.41*35</f>
        <v>84.350000000000009</v>
      </c>
      <c r="K8" s="17"/>
      <c r="L8" s="11" t="s">
        <v>11</v>
      </c>
      <c r="M8" s="22">
        <v>3.28</v>
      </c>
      <c r="N8" s="23">
        <f>2.8*35</f>
        <v>98</v>
      </c>
      <c r="O8" s="17"/>
      <c r="P8" s="11" t="s">
        <v>11</v>
      </c>
      <c r="Q8" s="22">
        <v>4.67</v>
      </c>
      <c r="R8" s="23">
        <f>7.96*35</f>
        <v>278.60000000000002</v>
      </c>
      <c r="S8" s="17"/>
      <c r="T8" s="11" t="s">
        <v>11</v>
      </c>
      <c r="U8" s="22">
        <v>3.83</v>
      </c>
      <c r="V8" s="23">
        <f>3.6*35</f>
        <v>126</v>
      </c>
      <c r="W8" s="17"/>
    </row>
    <row r="9" spans="1:23" ht="23.1" customHeight="1" thickBot="1">
      <c r="A9" s="111"/>
      <c r="B9" s="8" t="s">
        <v>4</v>
      </c>
      <c r="C9" s="13"/>
      <c r="D9" s="12" t="s">
        <v>11</v>
      </c>
      <c r="E9" s="24">
        <v>2.62</v>
      </c>
      <c r="F9" s="25">
        <f>2.52*35</f>
        <v>88.2</v>
      </c>
      <c r="G9" s="17"/>
      <c r="H9" s="12" t="s">
        <v>11</v>
      </c>
      <c r="I9" s="24">
        <v>2.38</v>
      </c>
      <c r="J9" s="25">
        <f>2.13*35</f>
        <v>74.55</v>
      </c>
      <c r="K9" s="17"/>
      <c r="L9" s="12" t="s">
        <v>11</v>
      </c>
      <c r="M9" s="24">
        <v>3.27</v>
      </c>
      <c r="N9" s="25">
        <f>1.38*35</f>
        <v>48.3</v>
      </c>
      <c r="O9" s="17"/>
      <c r="P9" s="12" t="s">
        <v>11</v>
      </c>
      <c r="Q9" s="24">
        <v>3.76</v>
      </c>
      <c r="R9" s="25">
        <f>3.7*35</f>
        <v>129.5</v>
      </c>
      <c r="S9" s="17"/>
      <c r="T9" s="12" t="s">
        <v>11</v>
      </c>
      <c r="U9" s="24">
        <v>3.73</v>
      </c>
      <c r="V9" s="25">
        <f>3.34*35</f>
        <v>116.89999999999999</v>
      </c>
      <c r="W9" s="17"/>
    </row>
    <row r="10" spans="1:23" s="3" customFormat="1" ht="4.5" customHeight="1" thickBot="1">
      <c r="A10" s="14"/>
      <c r="B10" s="15"/>
      <c r="C10" s="13"/>
      <c r="D10" s="16"/>
      <c r="E10" s="26"/>
      <c r="F10" s="26"/>
      <c r="G10" s="13"/>
      <c r="H10" s="16"/>
      <c r="I10" s="26"/>
      <c r="J10" s="26"/>
      <c r="K10" s="13"/>
      <c r="L10" s="16"/>
      <c r="M10" s="26"/>
      <c r="N10" s="26"/>
      <c r="O10" s="13"/>
      <c r="P10" s="16"/>
      <c r="Q10" s="26"/>
      <c r="R10" s="26"/>
      <c r="S10" s="13"/>
      <c r="T10" s="16"/>
      <c r="U10" s="26"/>
      <c r="V10" s="26"/>
      <c r="W10" s="13"/>
    </row>
    <row r="11" spans="1:23" ht="23.1" customHeight="1">
      <c r="A11" s="102" t="s">
        <v>14</v>
      </c>
      <c r="B11" s="6" t="s">
        <v>1</v>
      </c>
      <c r="C11" s="13"/>
      <c r="D11" s="10" t="s">
        <v>11</v>
      </c>
      <c r="E11" s="20">
        <v>3.6</v>
      </c>
      <c r="F11" s="21">
        <f>3.89*35</f>
        <v>136.15</v>
      </c>
      <c r="G11" s="17"/>
      <c r="H11" s="10" t="s">
        <v>11</v>
      </c>
      <c r="I11" s="20">
        <v>3.51</v>
      </c>
      <c r="J11" s="21">
        <f>5.1*35</f>
        <v>178.5</v>
      </c>
      <c r="K11" s="17"/>
      <c r="L11" s="10" t="s">
        <v>11</v>
      </c>
      <c r="M11" s="20">
        <v>3.4</v>
      </c>
      <c r="N11" s="21">
        <f>1.44*35</f>
        <v>50.4</v>
      </c>
      <c r="O11" s="17"/>
      <c r="P11" s="10" t="s">
        <v>11</v>
      </c>
      <c r="Q11" s="20">
        <v>3.62</v>
      </c>
      <c r="R11" s="21">
        <f>3.14*35</f>
        <v>109.9</v>
      </c>
      <c r="S11" s="17"/>
      <c r="T11" s="10" t="s">
        <v>11</v>
      </c>
      <c r="U11" s="20">
        <v>3.94</v>
      </c>
      <c r="V11" s="21">
        <f>4.28*35</f>
        <v>149.80000000000001</v>
      </c>
      <c r="W11" s="17"/>
    </row>
    <row r="12" spans="1:23" ht="23.1" customHeight="1">
      <c r="A12" s="103"/>
      <c r="B12" s="7" t="s">
        <v>2</v>
      </c>
      <c r="C12" s="13"/>
      <c r="D12" s="11" t="s">
        <v>11</v>
      </c>
      <c r="E12" s="22">
        <v>3.62</v>
      </c>
      <c r="F12" s="23">
        <f>3.6*35</f>
        <v>126</v>
      </c>
      <c r="G12" s="17"/>
      <c r="H12" s="11" t="s">
        <v>11</v>
      </c>
      <c r="I12" s="22">
        <v>3.58</v>
      </c>
      <c r="J12" s="23">
        <f>4.64*35</f>
        <v>162.39999999999998</v>
      </c>
      <c r="K12" s="17"/>
      <c r="L12" s="11" t="s">
        <v>11</v>
      </c>
      <c r="M12" s="22">
        <v>3.88</v>
      </c>
      <c r="N12" s="23">
        <f>1.5*35</f>
        <v>52.5</v>
      </c>
      <c r="O12" s="17"/>
      <c r="P12" s="11" t="s">
        <v>11</v>
      </c>
      <c r="Q12" s="22">
        <v>4.3499999999999996</v>
      </c>
      <c r="R12" s="23">
        <f>5.7*35</f>
        <v>199.5</v>
      </c>
      <c r="S12" s="17"/>
      <c r="T12" s="11" t="s">
        <v>11</v>
      </c>
      <c r="U12" s="22">
        <v>3.42</v>
      </c>
      <c r="V12" s="23">
        <f>2.4*35</f>
        <v>84</v>
      </c>
      <c r="W12" s="17"/>
    </row>
    <row r="13" spans="1:23" ht="23.1" customHeight="1">
      <c r="A13" s="103"/>
      <c r="B13" s="7" t="s">
        <v>3</v>
      </c>
      <c r="C13" s="13"/>
      <c r="D13" s="11" t="s">
        <v>11</v>
      </c>
      <c r="E13" s="22">
        <v>3.44</v>
      </c>
      <c r="F13" s="23">
        <f>2.4*35</f>
        <v>84</v>
      </c>
      <c r="G13" s="17"/>
      <c r="H13" s="11" t="s">
        <v>11</v>
      </c>
      <c r="I13" s="22">
        <v>3.98</v>
      </c>
      <c r="J13" s="23">
        <f>5.88*35</f>
        <v>205.79999999999998</v>
      </c>
      <c r="K13" s="17"/>
      <c r="L13" s="11" t="s">
        <v>11</v>
      </c>
      <c r="M13" s="22">
        <v>4.05</v>
      </c>
      <c r="N13" s="23">
        <f>5.9*35</f>
        <v>206.5</v>
      </c>
      <c r="O13" s="17"/>
      <c r="P13" s="11" t="s">
        <v>11</v>
      </c>
      <c r="Q13" s="22">
        <v>3.67</v>
      </c>
      <c r="R13" s="23">
        <f>3*35</f>
        <v>105</v>
      </c>
      <c r="S13" s="17"/>
      <c r="T13" s="11" t="s">
        <v>11</v>
      </c>
      <c r="U13" s="22">
        <v>3.24</v>
      </c>
      <c r="V13" s="23">
        <f>2.2*35</f>
        <v>77</v>
      </c>
      <c r="W13" s="17"/>
    </row>
    <row r="14" spans="1:23" ht="23.1" customHeight="1" thickBot="1">
      <c r="A14" s="104"/>
      <c r="B14" s="8" t="s">
        <v>4</v>
      </c>
      <c r="C14" s="13"/>
      <c r="D14" s="12" t="s">
        <v>11</v>
      </c>
      <c r="E14" s="24">
        <v>3.58</v>
      </c>
      <c r="F14" s="25">
        <f>2.92*35</f>
        <v>102.2</v>
      </c>
      <c r="G14" s="17"/>
      <c r="H14" s="12" t="s">
        <v>11</v>
      </c>
      <c r="I14" s="24">
        <v>3.23</v>
      </c>
      <c r="J14" s="25">
        <f>5.02*35</f>
        <v>175.7</v>
      </c>
      <c r="K14" s="17"/>
      <c r="L14" s="12" t="s">
        <v>11</v>
      </c>
      <c r="M14" s="24">
        <v>3.57</v>
      </c>
      <c r="N14" s="25">
        <f>5.5*35</f>
        <v>192.5</v>
      </c>
      <c r="O14" s="17"/>
      <c r="P14" s="12" t="s">
        <v>11</v>
      </c>
      <c r="Q14" s="24">
        <v>3.8</v>
      </c>
      <c r="R14" s="25">
        <f>5.24*35</f>
        <v>183.4</v>
      </c>
      <c r="S14" s="17"/>
      <c r="T14" s="12" t="s">
        <v>11</v>
      </c>
      <c r="U14" s="24">
        <v>3.46</v>
      </c>
      <c r="V14" s="25">
        <f>2.2*35</f>
        <v>77</v>
      </c>
      <c r="W14" s="17"/>
    </row>
    <row r="15" spans="1:23" ht="5.0999999999999996" customHeight="1" thickBot="1">
      <c r="A15" s="17"/>
      <c r="B15" s="17"/>
      <c r="C15" s="13"/>
      <c r="D15" s="17"/>
      <c r="E15" s="33"/>
      <c r="F15" s="33"/>
      <c r="G15" s="17"/>
      <c r="H15" s="17"/>
      <c r="I15" s="33"/>
      <c r="J15" s="33"/>
      <c r="K15" s="17"/>
      <c r="L15" s="17"/>
      <c r="M15" s="33"/>
      <c r="N15" s="33"/>
      <c r="O15" s="17"/>
      <c r="P15" s="17"/>
      <c r="Q15" s="33"/>
      <c r="R15" s="33"/>
      <c r="S15" s="17"/>
      <c r="T15" s="17"/>
      <c r="U15" s="33"/>
      <c r="V15" s="33"/>
      <c r="W15" s="17"/>
    </row>
    <row r="16" spans="1:23" ht="23.1" customHeight="1">
      <c r="A16" s="112" t="s">
        <v>0</v>
      </c>
      <c r="B16" s="6" t="s">
        <v>1</v>
      </c>
      <c r="C16" s="13"/>
      <c r="D16" s="10" t="s">
        <v>12</v>
      </c>
      <c r="E16" s="20">
        <v>3.79</v>
      </c>
      <c r="F16" s="21">
        <f>5.36*35</f>
        <v>187.60000000000002</v>
      </c>
      <c r="G16" s="17"/>
      <c r="H16" s="10" t="s">
        <v>12</v>
      </c>
      <c r="I16" s="20">
        <v>4.4400000000000004</v>
      </c>
      <c r="J16" s="21">
        <f>10.3*35</f>
        <v>360.5</v>
      </c>
      <c r="K16" s="17"/>
      <c r="L16" s="10" t="s">
        <v>12</v>
      </c>
      <c r="M16" s="20">
        <v>3.23</v>
      </c>
      <c r="N16" s="21">
        <f>1.62*35</f>
        <v>56.7</v>
      </c>
      <c r="O16" s="17"/>
      <c r="P16" s="10" t="s">
        <v>12</v>
      </c>
      <c r="Q16" s="20">
        <v>3.94</v>
      </c>
      <c r="R16" s="21">
        <f>5.1*35</f>
        <v>178.5</v>
      </c>
      <c r="S16" s="17"/>
      <c r="T16" s="10" t="s">
        <v>12</v>
      </c>
      <c r="U16" s="20">
        <v>4.92</v>
      </c>
      <c r="V16" s="21">
        <f>10*35</f>
        <v>350</v>
      </c>
      <c r="W16" s="17"/>
    </row>
    <row r="17" spans="1:23" ht="23.1" customHeight="1">
      <c r="A17" s="113"/>
      <c r="B17" s="7" t="s">
        <v>2</v>
      </c>
      <c r="C17" s="13"/>
      <c r="D17" s="11" t="s">
        <v>12</v>
      </c>
      <c r="E17" s="22">
        <v>4.05</v>
      </c>
      <c r="F17" s="23">
        <f>5.94*35</f>
        <v>207.9</v>
      </c>
      <c r="G17" s="17"/>
      <c r="H17" s="11" t="s">
        <v>12</v>
      </c>
      <c r="I17" s="22">
        <v>3.78</v>
      </c>
      <c r="J17" s="23">
        <f>6.54*35</f>
        <v>228.9</v>
      </c>
      <c r="K17" s="17"/>
      <c r="L17" s="11" t="s">
        <v>12</v>
      </c>
      <c r="M17" s="22">
        <v>3.81</v>
      </c>
      <c r="N17" s="23">
        <f>2.62*35</f>
        <v>91.7</v>
      </c>
      <c r="O17" s="17"/>
      <c r="P17" s="11" t="s">
        <v>12</v>
      </c>
      <c r="Q17" s="22">
        <v>4.03</v>
      </c>
      <c r="R17" s="23">
        <f>5.52*35</f>
        <v>193.2</v>
      </c>
      <c r="S17" s="17"/>
      <c r="T17" s="11" t="s">
        <v>12</v>
      </c>
      <c r="U17" s="22">
        <v>3.25</v>
      </c>
      <c r="V17" s="23">
        <f>2.64*35</f>
        <v>92.4</v>
      </c>
      <c r="W17" s="17"/>
    </row>
    <row r="18" spans="1:23" ht="23.1" customHeight="1">
      <c r="A18" s="113"/>
      <c r="B18" s="7" t="s">
        <v>3</v>
      </c>
      <c r="C18" s="13"/>
      <c r="D18" s="11" t="s">
        <v>12</v>
      </c>
      <c r="E18" s="22">
        <v>3.7</v>
      </c>
      <c r="F18" s="23">
        <f>4.46*35</f>
        <v>156.1</v>
      </c>
      <c r="G18" s="17"/>
      <c r="H18" s="11" t="s">
        <v>12</v>
      </c>
      <c r="I18" s="22">
        <v>3.24</v>
      </c>
      <c r="J18" s="23">
        <f>5.76*35</f>
        <v>201.6</v>
      </c>
      <c r="K18" s="17"/>
      <c r="L18" s="11" t="s">
        <v>12</v>
      </c>
      <c r="M18" s="22">
        <v>4.12</v>
      </c>
      <c r="N18" s="23">
        <f>6.08*35</f>
        <v>212.8</v>
      </c>
      <c r="O18" s="17"/>
      <c r="P18" s="11" t="s">
        <v>12</v>
      </c>
      <c r="Q18" s="22">
        <v>4.53</v>
      </c>
      <c r="R18" s="23">
        <f>3.1*35</f>
        <v>108.5</v>
      </c>
      <c r="S18" s="17"/>
      <c r="T18" s="11" t="s">
        <v>12</v>
      </c>
      <c r="U18" s="22">
        <v>3.62</v>
      </c>
      <c r="V18" s="23">
        <f>3.16*35</f>
        <v>110.60000000000001</v>
      </c>
      <c r="W18" s="17"/>
    </row>
    <row r="19" spans="1:23" ht="23.1" customHeight="1" thickBot="1">
      <c r="A19" s="114"/>
      <c r="B19" s="8" t="s">
        <v>4</v>
      </c>
      <c r="C19" s="13"/>
      <c r="D19" s="12" t="s">
        <v>12</v>
      </c>
      <c r="E19" s="24">
        <v>3.63</v>
      </c>
      <c r="F19" s="25">
        <f>2.74*35</f>
        <v>95.9</v>
      </c>
      <c r="G19" s="17"/>
      <c r="H19" s="12" t="s">
        <v>12</v>
      </c>
      <c r="I19" s="24">
        <v>2.5099999999999998</v>
      </c>
      <c r="J19" s="25">
        <f>3*35</f>
        <v>105</v>
      </c>
      <c r="K19" s="17"/>
      <c r="L19" s="12" t="s">
        <v>12</v>
      </c>
      <c r="M19" s="24">
        <v>4.01</v>
      </c>
      <c r="N19" s="25">
        <f>5.74*35</f>
        <v>200.9</v>
      </c>
      <c r="O19" s="17"/>
      <c r="P19" s="12" t="s">
        <v>12</v>
      </c>
      <c r="Q19" s="24">
        <v>3.83</v>
      </c>
      <c r="R19" s="25">
        <f>3.74*35</f>
        <v>130.9</v>
      </c>
      <c r="S19" s="17"/>
      <c r="T19" s="12" t="s">
        <v>12</v>
      </c>
      <c r="U19" s="24">
        <v>3.3</v>
      </c>
      <c r="V19" s="25">
        <f>3.14*35</f>
        <v>109.9</v>
      </c>
      <c r="W19" s="17"/>
    </row>
    <row r="20" spans="1:23" ht="5.0999999999999996" customHeight="1">
      <c r="A20" s="17"/>
      <c r="B20" s="17"/>
      <c r="C20" s="1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5" thickBot="1"/>
    <row r="22" spans="1:23" ht="15">
      <c r="B22" s="9" t="s">
        <v>9</v>
      </c>
      <c r="D22" s="108">
        <v>40423</v>
      </c>
      <c r="E22" s="106"/>
      <c r="F22" s="107"/>
      <c r="H22" s="108">
        <v>40430</v>
      </c>
      <c r="I22" s="106"/>
      <c r="J22" s="107"/>
      <c r="L22" s="108">
        <v>40437</v>
      </c>
      <c r="M22" s="106"/>
      <c r="N22" s="107"/>
      <c r="P22" s="108">
        <v>40448</v>
      </c>
      <c r="Q22" s="106"/>
      <c r="R22" s="107"/>
      <c r="T22" s="108">
        <v>40497</v>
      </c>
      <c r="U22" s="106"/>
      <c r="V22" s="107"/>
    </row>
    <row r="23" spans="1:23" ht="45.75" thickBot="1">
      <c r="A23" s="2"/>
      <c r="B23" s="2"/>
      <c r="C23" s="4"/>
      <c r="D23" s="63" t="s">
        <v>6</v>
      </c>
      <c r="E23" s="61" t="s">
        <v>7</v>
      </c>
      <c r="F23" s="64" t="s">
        <v>8</v>
      </c>
      <c r="G23" s="2"/>
      <c r="H23" s="63" t="s">
        <v>6</v>
      </c>
      <c r="I23" s="61" t="s">
        <v>7</v>
      </c>
      <c r="J23" s="64" t="s">
        <v>8</v>
      </c>
      <c r="K23" s="2"/>
      <c r="L23" s="63" t="s">
        <v>6</v>
      </c>
      <c r="M23" s="61" t="s">
        <v>7</v>
      </c>
      <c r="N23" s="64" t="s">
        <v>8</v>
      </c>
      <c r="O23" s="2"/>
      <c r="P23" s="63" t="s">
        <v>6</v>
      </c>
      <c r="Q23" s="61" t="s">
        <v>7</v>
      </c>
      <c r="R23" s="64" t="s">
        <v>8</v>
      </c>
      <c r="S23" s="2"/>
      <c r="T23" s="63" t="s">
        <v>6</v>
      </c>
      <c r="U23" s="61" t="s">
        <v>7</v>
      </c>
      <c r="V23" s="64" t="s">
        <v>8</v>
      </c>
      <c r="W23" s="2"/>
    </row>
    <row r="24" spans="1:23" ht="4.5" customHeight="1" thickBot="1">
      <c r="A24" s="17"/>
      <c r="B24" s="17"/>
      <c r="C24" s="1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23.1" customHeight="1">
      <c r="A25" s="109" t="s">
        <v>13</v>
      </c>
      <c r="B25" s="6" t="s">
        <v>1</v>
      </c>
      <c r="C25" s="13"/>
      <c r="D25" s="10" t="s">
        <v>11</v>
      </c>
      <c r="E25" s="20">
        <v>3.79</v>
      </c>
      <c r="F25" s="21">
        <f>4.46*35</f>
        <v>156.1</v>
      </c>
      <c r="G25" s="17"/>
      <c r="H25" s="10" t="s">
        <v>11</v>
      </c>
      <c r="I25" s="20">
        <v>5.61</v>
      </c>
      <c r="J25" s="21">
        <f>14.9*35</f>
        <v>521.5</v>
      </c>
      <c r="K25" s="17"/>
      <c r="L25" s="10" t="s">
        <v>11</v>
      </c>
      <c r="M25" s="20">
        <v>4.8499999999999996</v>
      </c>
      <c r="N25" s="21">
        <f>8.95*35</f>
        <v>313.25</v>
      </c>
      <c r="O25" s="17"/>
      <c r="P25" s="10" t="s">
        <v>11</v>
      </c>
      <c r="Q25" s="20">
        <v>5.84</v>
      </c>
      <c r="R25" s="21">
        <f>12.8*35</f>
        <v>448</v>
      </c>
      <c r="S25" s="17"/>
      <c r="T25" s="10" t="s">
        <v>11</v>
      </c>
      <c r="U25" s="20">
        <v>5.8</v>
      </c>
      <c r="V25" s="21">
        <f>6*35</f>
        <v>210</v>
      </c>
      <c r="W25" s="17"/>
    </row>
    <row r="26" spans="1:23" ht="23.1" customHeight="1">
      <c r="A26" s="110"/>
      <c r="B26" s="7" t="s">
        <v>2</v>
      </c>
      <c r="C26" s="13"/>
      <c r="D26" s="11" t="s">
        <v>11</v>
      </c>
      <c r="E26" s="22">
        <v>3.32</v>
      </c>
      <c r="F26" s="23">
        <f>6.14*35</f>
        <v>214.89999999999998</v>
      </c>
      <c r="G26" s="17"/>
      <c r="H26" s="11" t="s">
        <v>11</v>
      </c>
      <c r="I26" s="22">
        <v>4.83</v>
      </c>
      <c r="J26" s="23">
        <f>9.18*35</f>
        <v>321.3</v>
      </c>
      <c r="K26" s="17"/>
      <c r="L26" s="11" t="s">
        <v>11</v>
      </c>
      <c r="M26" s="22">
        <v>9.34</v>
      </c>
      <c r="N26" s="23">
        <f>11.1*35</f>
        <v>388.5</v>
      </c>
      <c r="O26" s="17"/>
      <c r="P26" s="11" t="s">
        <v>11</v>
      </c>
      <c r="Q26" s="22">
        <v>6.72</v>
      </c>
      <c r="R26" s="23">
        <f>10.8*35</f>
        <v>378</v>
      </c>
      <c r="S26" s="17"/>
      <c r="T26" s="11" t="s">
        <v>11</v>
      </c>
      <c r="U26" s="22">
        <v>9.66</v>
      </c>
      <c r="V26" s="23">
        <f>3.46*35</f>
        <v>121.1</v>
      </c>
      <c r="W26" s="17"/>
    </row>
    <row r="27" spans="1:23" ht="23.1" customHeight="1">
      <c r="A27" s="110"/>
      <c r="B27" s="7" t="s">
        <v>3</v>
      </c>
      <c r="C27" s="13"/>
      <c r="D27" s="11" t="s">
        <v>11</v>
      </c>
      <c r="E27" s="22">
        <v>3.97</v>
      </c>
      <c r="F27" s="23">
        <f>4.8*35</f>
        <v>168</v>
      </c>
      <c r="G27" s="17"/>
      <c r="H27" s="11" t="s">
        <v>11</v>
      </c>
      <c r="I27" s="22">
        <v>5.53</v>
      </c>
      <c r="J27" s="23">
        <f>7.86*35</f>
        <v>275.10000000000002</v>
      </c>
      <c r="K27" s="17"/>
      <c r="L27" s="11" t="s">
        <v>11</v>
      </c>
      <c r="M27" s="22">
        <v>4.34</v>
      </c>
      <c r="N27" s="23">
        <f>4.58*35</f>
        <v>160.30000000000001</v>
      </c>
      <c r="O27" s="17"/>
      <c r="P27" s="11" t="s">
        <v>11</v>
      </c>
      <c r="Q27" s="22">
        <v>4.4800000000000004</v>
      </c>
      <c r="R27" s="23">
        <f>6.2*35</f>
        <v>217</v>
      </c>
      <c r="S27" s="17"/>
      <c r="T27" s="11" t="s">
        <v>11</v>
      </c>
      <c r="U27" s="22">
        <v>5.04</v>
      </c>
      <c r="V27" s="23">
        <f>2.25*35</f>
        <v>78.75</v>
      </c>
      <c r="W27" s="17"/>
    </row>
    <row r="28" spans="1:23" ht="23.1" customHeight="1" thickBot="1">
      <c r="A28" s="111"/>
      <c r="B28" s="8" t="s">
        <v>4</v>
      </c>
      <c r="C28" s="13"/>
      <c r="D28" s="12" t="s">
        <v>11</v>
      </c>
      <c r="E28" s="24">
        <v>3.44</v>
      </c>
      <c r="F28" s="25">
        <f>2.86*35</f>
        <v>100.1</v>
      </c>
      <c r="G28" s="17"/>
      <c r="H28" s="12" t="s">
        <v>11</v>
      </c>
      <c r="I28" s="24">
        <v>4.3</v>
      </c>
      <c r="J28" s="25">
        <f>6.06*35</f>
        <v>212.1</v>
      </c>
      <c r="K28" s="17"/>
      <c r="L28" s="12" t="s">
        <v>11</v>
      </c>
      <c r="M28" s="24">
        <v>4.5599999999999996</v>
      </c>
      <c r="N28" s="25">
        <f>6.93*35</f>
        <v>242.54999999999998</v>
      </c>
      <c r="O28" s="17"/>
      <c r="P28" s="12" t="s">
        <v>11</v>
      </c>
      <c r="Q28" s="24">
        <v>3.54</v>
      </c>
      <c r="R28" s="25">
        <f>2.5*35</f>
        <v>87.5</v>
      </c>
      <c r="S28" s="17"/>
      <c r="T28" s="12" t="s">
        <v>11</v>
      </c>
      <c r="U28" s="24">
        <v>6.13</v>
      </c>
      <c r="V28" s="25">
        <f>5.34*35</f>
        <v>186.9</v>
      </c>
      <c r="W28" s="17"/>
    </row>
    <row r="29" spans="1:23" ht="4.5" customHeight="1" thickBot="1">
      <c r="A29" s="14"/>
      <c r="B29" s="15"/>
      <c r="C29" s="13"/>
      <c r="D29" s="16"/>
      <c r="E29" s="26"/>
      <c r="F29" s="26"/>
      <c r="G29" s="13"/>
      <c r="H29" s="16"/>
      <c r="I29" s="26"/>
      <c r="J29" s="26"/>
      <c r="K29" s="13"/>
      <c r="L29" s="16"/>
      <c r="M29" s="26"/>
      <c r="N29" s="26"/>
      <c r="O29" s="13"/>
      <c r="P29" s="16"/>
      <c r="Q29" s="26"/>
      <c r="R29" s="26"/>
      <c r="S29" s="13"/>
      <c r="T29" s="16"/>
      <c r="U29" s="26"/>
      <c r="V29" s="26"/>
      <c r="W29" s="13"/>
    </row>
    <row r="30" spans="1:23" ht="23.1" customHeight="1">
      <c r="A30" s="102" t="s">
        <v>14</v>
      </c>
      <c r="B30" s="6" t="s">
        <v>1</v>
      </c>
      <c r="C30" s="13"/>
      <c r="D30" s="10" t="s">
        <v>11</v>
      </c>
      <c r="E30" s="20">
        <v>4.1900000000000004</v>
      </c>
      <c r="F30" s="21">
        <f>5.85*35</f>
        <v>204.75</v>
      </c>
      <c r="G30" s="17"/>
      <c r="H30" s="10" t="s">
        <v>11</v>
      </c>
      <c r="I30" s="20">
        <v>5.21</v>
      </c>
      <c r="J30" s="21">
        <f>15.6*35</f>
        <v>546</v>
      </c>
      <c r="K30" s="17"/>
      <c r="L30" s="10" t="s">
        <v>11</v>
      </c>
      <c r="M30" s="20">
        <v>4.54</v>
      </c>
      <c r="N30" s="21">
        <f>3.71*35</f>
        <v>129.85</v>
      </c>
      <c r="O30" s="17"/>
      <c r="P30" s="10" t="s">
        <v>11</v>
      </c>
      <c r="Q30" s="20">
        <v>5.22</v>
      </c>
      <c r="R30" s="21">
        <f>10.4*35</f>
        <v>364</v>
      </c>
      <c r="S30" s="17"/>
      <c r="T30" s="10" t="s">
        <v>11</v>
      </c>
      <c r="U30" s="44"/>
      <c r="V30" s="45"/>
      <c r="W30" s="17"/>
    </row>
    <row r="31" spans="1:23" ht="23.1" customHeight="1">
      <c r="A31" s="103"/>
      <c r="B31" s="7" t="s">
        <v>2</v>
      </c>
      <c r="C31" s="13"/>
      <c r="D31" s="11" t="s">
        <v>11</v>
      </c>
      <c r="E31" s="22">
        <v>4.1500000000000004</v>
      </c>
      <c r="F31" s="23">
        <f>3.15*35</f>
        <v>110.25</v>
      </c>
      <c r="G31" s="17"/>
      <c r="H31" s="11" t="s">
        <v>11</v>
      </c>
      <c r="I31" s="22">
        <v>4.0999999999999996</v>
      </c>
      <c r="J31" s="23">
        <f>9.46*35</f>
        <v>331.1</v>
      </c>
      <c r="K31" s="17"/>
      <c r="L31" s="11" t="s">
        <v>11</v>
      </c>
      <c r="M31" s="22">
        <v>4.0199999999999996</v>
      </c>
      <c r="N31" s="23">
        <f>5.63*35</f>
        <v>197.04999999999998</v>
      </c>
      <c r="O31" s="17"/>
      <c r="P31" s="11" t="s">
        <v>11</v>
      </c>
      <c r="Q31" s="22">
        <v>5.28</v>
      </c>
      <c r="R31" s="23">
        <f>6.65*35</f>
        <v>232.75</v>
      </c>
      <c r="S31" s="17"/>
      <c r="T31" s="11" t="s">
        <v>11</v>
      </c>
      <c r="U31" s="34"/>
      <c r="V31" s="35"/>
      <c r="W31" s="17"/>
    </row>
    <row r="32" spans="1:23" ht="23.1" customHeight="1">
      <c r="A32" s="103"/>
      <c r="B32" s="7" t="s">
        <v>3</v>
      </c>
      <c r="C32" s="13"/>
      <c r="D32" s="11" t="s">
        <v>11</v>
      </c>
      <c r="E32" s="22">
        <v>3.33</v>
      </c>
      <c r="F32" s="23">
        <f>1*35</f>
        <v>35</v>
      </c>
      <c r="G32" s="17"/>
      <c r="H32" s="11" t="s">
        <v>11</v>
      </c>
      <c r="I32" s="22">
        <v>4.17</v>
      </c>
      <c r="J32" s="23">
        <f>4.32*35</f>
        <v>151.20000000000002</v>
      </c>
      <c r="K32" s="17"/>
      <c r="L32" s="11" t="s">
        <v>11</v>
      </c>
      <c r="M32" s="22">
        <v>3.69</v>
      </c>
      <c r="N32" s="23">
        <f>5.06*35</f>
        <v>177.1</v>
      </c>
      <c r="O32" s="17"/>
      <c r="P32" s="11" t="s">
        <v>11</v>
      </c>
      <c r="Q32" s="22">
        <v>4.62</v>
      </c>
      <c r="R32" s="23">
        <f>4.3*35</f>
        <v>150.5</v>
      </c>
      <c r="S32" s="17"/>
      <c r="T32" s="11" t="s">
        <v>11</v>
      </c>
      <c r="U32" s="34"/>
      <c r="V32" s="35"/>
      <c r="W32" s="17"/>
    </row>
    <row r="33" spans="1:23" ht="23.1" customHeight="1" thickBot="1">
      <c r="A33" s="104"/>
      <c r="B33" s="8" t="s">
        <v>4</v>
      </c>
      <c r="C33" s="13"/>
      <c r="D33" s="12" t="s">
        <v>11</v>
      </c>
      <c r="E33" s="24">
        <v>3.65</v>
      </c>
      <c r="F33" s="25">
        <f>3.12*35</f>
        <v>109.2</v>
      </c>
      <c r="G33" s="17"/>
      <c r="H33" s="12" t="s">
        <v>11</v>
      </c>
      <c r="I33" s="24">
        <v>3.68</v>
      </c>
      <c r="J33" s="25">
        <f>2.9*35</f>
        <v>101.5</v>
      </c>
      <c r="K33" s="17"/>
      <c r="L33" s="12" t="s">
        <v>11</v>
      </c>
      <c r="M33" s="24">
        <v>3.59</v>
      </c>
      <c r="N33" s="25">
        <f>3.38*35</f>
        <v>118.3</v>
      </c>
      <c r="O33" s="17"/>
      <c r="P33" s="12" t="s">
        <v>11</v>
      </c>
      <c r="Q33" s="24">
        <v>3.9</v>
      </c>
      <c r="R33" s="25">
        <f>4.36*35</f>
        <v>152.60000000000002</v>
      </c>
      <c r="S33" s="17"/>
      <c r="T33" s="12" t="s">
        <v>11</v>
      </c>
      <c r="U33" s="46"/>
      <c r="V33" s="47"/>
      <c r="W33" s="17"/>
    </row>
    <row r="34" spans="1:23" ht="4.5" customHeight="1" thickBot="1">
      <c r="A34" s="17"/>
      <c r="B34" s="17"/>
      <c r="C34" s="13"/>
      <c r="D34" s="17"/>
      <c r="E34" s="33"/>
      <c r="F34" s="33"/>
      <c r="G34" s="17"/>
      <c r="H34" s="17"/>
      <c r="I34" s="33"/>
      <c r="J34" s="33"/>
      <c r="K34" s="17"/>
      <c r="L34" s="17"/>
      <c r="M34" s="33"/>
      <c r="N34" s="33"/>
      <c r="O34" s="17"/>
      <c r="P34" s="17"/>
      <c r="Q34" s="33"/>
      <c r="R34" s="33"/>
      <c r="S34" s="17"/>
      <c r="T34" s="17"/>
      <c r="U34" s="33"/>
      <c r="V34" s="33"/>
      <c r="W34" s="17"/>
    </row>
    <row r="35" spans="1:23" ht="23.1" customHeight="1">
      <c r="A35" s="112" t="s">
        <v>0</v>
      </c>
      <c r="B35" s="6" t="s">
        <v>1</v>
      </c>
      <c r="C35" s="13"/>
      <c r="D35" s="10" t="s">
        <v>12</v>
      </c>
      <c r="E35" s="20">
        <v>4.92</v>
      </c>
      <c r="F35" s="21">
        <f>6.45*35</f>
        <v>225.75</v>
      </c>
      <c r="G35" s="17"/>
      <c r="H35" s="10" t="s">
        <v>12</v>
      </c>
      <c r="I35" s="20">
        <v>3.67</v>
      </c>
      <c r="J35" s="21">
        <f>5.14*35</f>
        <v>179.89999999999998</v>
      </c>
      <c r="K35" s="17"/>
      <c r="L35" s="10" t="s">
        <v>12</v>
      </c>
      <c r="M35" s="20">
        <v>4.01</v>
      </c>
      <c r="N35" s="21">
        <f>4.38*35</f>
        <v>153.29999999999998</v>
      </c>
      <c r="O35" s="17"/>
      <c r="P35" s="10" t="s">
        <v>12</v>
      </c>
      <c r="Q35" s="20">
        <v>4.33</v>
      </c>
      <c r="R35" s="21">
        <f>6.35*35</f>
        <v>222.25</v>
      </c>
      <c r="S35" s="17"/>
      <c r="T35" s="10" t="s">
        <v>12</v>
      </c>
      <c r="U35" s="44"/>
      <c r="V35" s="45"/>
      <c r="W35" s="17"/>
    </row>
    <row r="36" spans="1:23" ht="23.1" customHeight="1">
      <c r="A36" s="113"/>
      <c r="B36" s="7" t="s">
        <v>2</v>
      </c>
      <c r="C36" s="13"/>
      <c r="D36" s="11" t="s">
        <v>12</v>
      </c>
      <c r="E36" s="22">
        <v>7.46</v>
      </c>
      <c r="F36" s="23">
        <f>3.4*35</f>
        <v>119</v>
      </c>
      <c r="G36" s="17"/>
      <c r="H36" s="11" t="s">
        <v>12</v>
      </c>
      <c r="I36" s="22">
        <v>2.11</v>
      </c>
      <c r="J36" s="23">
        <f>5.48*35</f>
        <v>191.8</v>
      </c>
      <c r="K36" s="17"/>
      <c r="L36" s="11" t="s">
        <v>12</v>
      </c>
      <c r="M36" s="22">
        <v>4.16</v>
      </c>
      <c r="N36" s="23">
        <f>5.25*35</f>
        <v>183.75</v>
      </c>
      <c r="O36" s="17"/>
      <c r="P36" s="11" t="s">
        <v>12</v>
      </c>
      <c r="Q36" s="22">
        <v>4.3499999999999996</v>
      </c>
      <c r="R36" s="23">
        <f>7*35</f>
        <v>245</v>
      </c>
      <c r="S36" s="17"/>
      <c r="T36" s="11" t="s">
        <v>12</v>
      </c>
      <c r="U36" s="34"/>
      <c r="V36" s="35"/>
      <c r="W36" s="17"/>
    </row>
    <row r="37" spans="1:23" ht="23.1" customHeight="1">
      <c r="A37" s="113"/>
      <c r="B37" s="7" t="s">
        <v>3</v>
      </c>
      <c r="C37" s="13"/>
      <c r="D37" s="11" t="s">
        <v>12</v>
      </c>
      <c r="E37" s="22">
        <v>3.72</v>
      </c>
      <c r="F37" s="23">
        <f>2.2*35</f>
        <v>77</v>
      </c>
      <c r="G37" s="17"/>
      <c r="H37" s="11" t="s">
        <v>12</v>
      </c>
      <c r="I37" s="22">
        <v>3.35</v>
      </c>
      <c r="J37" s="23">
        <f>5.34*35</f>
        <v>186.9</v>
      </c>
      <c r="K37" s="17"/>
      <c r="L37" s="11" t="s">
        <v>12</v>
      </c>
      <c r="M37" s="22">
        <v>4.08</v>
      </c>
      <c r="N37" s="23">
        <f>4.44*35</f>
        <v>155.4</v>
      </c>
      <c r="O37" s="17"/>
      <c r="P37" s="11" t="s">
        <v>12</v>
      </c>
      <c r="Q37" s="22" t="s">
        <v>91</v>
      </c>
      <c r="R37" s="23">
        <f>4.78*35</f>
        <v>167.3</v>
      </c>
      <c r="S37" s="17"/>
      <c r="T37" s="11" t="s">
        <v>12</v>
      </c>
      <c r="U37" s="34"/>
      <c r="V37" s="35"/>
      <c r="W37" s="17"/>
    </row>
    <row r="38" spans="1:23" ht="23.1" customHeight="1" thickBot="1">
      <c r="A38" s="114"/>
      <c r="B38" s="8" t="s">
        <v>4</v>
      </c>
      <c r="C38" s="13"/>
      <c r="D38" s="12" t="s">
        <v>12</v>
      </c>
      <c r="E38" s="24">
        <v>3.91</v>
      </c>
      <c r="F38" s="25">
        <f>2.72*35</f>
        <v>95.2</v>
      </c>
      <c r="G38" s="17"/>
      <c r="H38" s="12" t="s">
        <v>12</v>
      </c>
      <c r="I38" s="24">
        <v>3.49</v>
      </c>
      <c r="J38" s="25">
        <f>3.34*35</f>
        <v>116.89999999999999</v>
      </c>
      <c r="K38" s="17"/>
      <c r="L38" s="12" t="s">
        <v>12</v>
      </c>
      <c r="M38" s="24">
        <v>3.49</v>
      </c>
      <c r="N38" s="25">
        <f>2.13*35</f>
        <v>74.55</v>
      </c>
      <c r="O38" s="17"/>
      <c r="P38" s="12" t="s">
        <v>12</v>
      </c>
      <c r="Q38" s="24">
        <v>3.01</v>
      </c>
      <c r="R38" s="25">
        <f>3.64*35</f>
        <v>127.4</v>
      </c>
      <c r="S38" s="17"/>
      <c r="T38" s="12" t="s">
        <v>12</v>
      </c>
      <c r="U38" s="46"/>
      <c r="V38" s="47"/>
      <c r="W38" s="17"/>
    </row>
    <row r="39" spans="1:23" ht="4.5" customHeight="1">
      <c r="A39" s="17"/>
      <c r="B39" s="17"/>
      <c r="C39" s="13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ht="15" thickBot="1"/>
    <row r="41" spans="1:23" ht="15">
      <c r="B41" s="9" t="s">
        <v>9</v>
      </c>
      <c r="D41" s="108">
        <v>40510</v>
      </c>
      <c r="E41" s="106"/>
      <c r="F41" s="107"/>
      <c r="H41" s="108">
        <v>40516</v>
      </c>
      <c r="I41" s="106"/>
      <c r="J41" s="107"/>
      <c r="L41" s="108">
        <v>40555</v>
      </c>
      <c r="M41" s="106"/>
      <c r="N41" s="107"/>
      <c r="P41" s="108">
        <v>40677</v>
      </c>
      <c r="Q41" s="106"/>
      <c r="R41" s="107"/>
    </row>
    <row r="42" spans="1:23" ht="45.75" thickBot="1">
      <c r="A42" s="2"/>
      <c r="B42" s="2"/>
      <c r="C42" s="4"/>
      <c r="D42" s="63" t="s">
        <v>6</v>
      </c>
      <c r="E42" s="61" t="s">
        <v>7</v>
      </c>
      <c r="F42" s="64" t="s">
        <v>8</v>
      </c>
      <c r="G42" s="2"/>
      <c r="H42" s="63" t="s">
        <v>6</v>
      </c>
      <c r="I42" s="61" t="s">
        <v>7</v>
      </c>
      <c r="J42" s="64" t="s">
        <v>8</v>
      </c>
      <c r="K42" s="2"/>
      <c r="L42" s="63" t="s">
        <v>6</v>
      </c>
      <c r="M42" s="61" t="s">
        <v>7</v>
      </c>
      <c r="N42" s="64" t="s">
        <v>8</v>
      </c>
      <c r="O42" s="2"/>
      <c r="P42" s="63" t="s">
        <v>6</v>
      </c>
      <c r="Q42" s="61" t="s">
        <v>7</v>
      </c>
      <c r="R42" s="64" t="s">
        <v>8</v>
      </c>
      <c r="S42" s="2"/>
    </row>
    <row r="43" spans="1:23" ht="4.5" customHeight="1" thickBot="1">
      <c r="A43" s="17"/>
      <c r="B43" s="17"/>
      <c r="C43" s="13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23" ht="23.1" customHeight="1">
      <c r="A44" s="109" t="s">
        <v>13</v>
      </c>
      <c r="B44" s="6" t="s">
        <v>1</v>
      </c>
      <c r="C44" s="13"/>
      <c r="D44" s="10" t="s">
        <v>11</v>
      </c>
      <c r="E44" s="20">
        <v>5.21</v>
      </c>
      <c r="F44" s="21">
        <f>5.55*35</f>
        <v>194.25</v>
      </c>
      <c r="G44" s="17"/>
      <c r="H44" s="10" t="s">
        <v>11</v>
      </c>
      <c r="I44" s="68">
        <v>4.78</v>
      </c>
      <c r="J44" s="69">
        <f>2.63*35</f>
        <v>92.05</v>
      </c>
      <c r="K44" s="17"/>
      <c r="L44" s="10" t="s">
        <v>11</v>
      </c>
      <c r="M44" s="20">
        <v>4.6100000000000003</v>
      </c>
      <c r="N44" s="21">
        <f>1.94*35</f>
        <v>67.899999999999991</v>
      </c>
      <c r="O44" s="17"/>
      <c r="P44" s="10" t="s">
        <v>11</v>
      </c>
      <c r="Q44" s="20">
        <v>1.79</v>
      </c>
      <c r="R44" s="21">
        <f>0.85*35</f>
        <v>29.75</v>
      </c>
      <c r="S44" s="17"/>
    </row>
    <row r="45" spans="1:23" ht="23.1" customHeight="1">
      <c r="A45" s="110"/>
      <c r="B45" s="7" t="s">
        <v>2</v>
      </c>
      <c r="C45" s="13"/>
      <c r="D45" s="11" t="s">
        <v>11</v>
      </c>
      <c r="E45" s="22">
        <v>10.3</v>
      </c>
      <c r="F45" s="23">
        <f>2.4*35</f>
        <v>84</v>
      </c>
      <c r="G45" s="17"/>
      <c r="H45" s="11" t="s">
        <v>11</v>
      </c>
      <c r="I45" s="70">
        <v>8.1300000000000008</v>
      </c>
      <c r="J45" s="71">
        <f>2.82*35</f>
        <v>98.699999999999989</v>
      </c>
      <c r="K45" s="17"/>
      <c r="L45" s="11" t="s">
        <v>11</v>
      </c>
      <c r="M45" s="22">
        <v>15</v>
      </c>
      <c r="N45" s="23">
        <f>1.44*35</f>
        <v>50.4</v>
      </c>
      <c r="O45" s="17"/>
      <c r="P45" s="11" t="s">
        <v>11</v>
      </c>
      <c r="Q45" s="22">
        <v>6.4</v>
      </c>
      <c r="R45" s="23">
        <f>0.8*35</f>
        <v>28</v>
      </c>
      <c r="S45" s="17"/>
    </row>
    <row r="46" spans="1:23" ht="23.1" customHeight="1">
      <c r="A46" s="110"/>
      <c r="B46" s="7" t="s">
        <v>3</v>
      </c>
      <c r="C46" s="13"/>
      <c r="D46" s="11" t="s">
        <v>11</v>
      </c>
      <c r="E46" s="22">
        <v>7.58</v>
      </c>
      <c r="F46" s="23">
        <f>1.89*35</f>
        <v>66.149999999999991</v>
      </c>
      <c r="G46" s="17"/>
      <c r="H46" s="11" t="s">
        <v>11</v>
      </c>
      <c r="I46" s="70">
        <v>4.2300000000000004</v>
      </c>
      <c r="J46" s="71">
        <f>2.12*35</f>
        <v>74.2</v>
      </c>
      <c r="K46" s="17"/>
      <c r="L46" s="11" t="s">
        <v>11</v>
      </c>
      <c r="M46" s="22">
        <v>3.5</v>
      </c>
      <c r="N46" s="23">
        <f>0.28*35</f>
        <v>9.8000000000000007</v>
      </c>
      <c r="O46" s="17"/>
      <c r="P46" s="11" t="s">
        <v>11</v>
      </c>
      <c r="Q46" s="22">
        <v>1.67</v>
      </c>
      <c r="R46" s="23">
        <f>0.85*35</f>
        <v>29.75</v>
      </c>
      <c r="S46" s="17"/>
    </row>
    <row r="47" spans="1:23" ht="23.1" customHeight="1" thickBot="1">
      <c r="A47" s="111"/>
      <c r="B47" s="8" t="s">
        <v>4</v>
      </c>
      <c r="C47" s="13"/>
      <c r="D47" s="12" t="s">
        <v>11</v>
      </c>
      <c r="E47" s="36"/>
      <c r="F47" s="37"/>
      <c r="G47" s="17"/>
      <c r="H47" s="12" t="s">
        <v>11</v>
      </c>
      <c r="I47" s="72">
        <v>4.3099999999999996</v>
      </c>
      <c r="J47" s="73">
        <f>1.6*35</f>
        <v>56</v>
      </c>
      <c r="K47" s="17"/>
      <c r="L47" s="12" t="s">
        <v>11</v>
      </c>
      <c r="M47" s="36"/>
      <c r="N47" s="37"/>
      <c r="O47" s="17"/>
      <c r="P47" s="12" t="s">
        <v>11</v>
      </c>
      <c r="Q47" s="36"/>
      <c r="R47" s="37"/>
      <c r="S47" s="17"/>
    </row>
    <row r="48" spans="1:23" ht="4.5" customHeight="1" thickBot="1">
      <c r="A48" s="14"/>
      <c r="B48" s="15"/>
      <c r="C48" s="13"/>
      <c r="D48" s="16"/>
      <c r="E48" s="26"/>
      <c r="F48" s="26"/>
      <c r="G48" s="13"/>
      <c r="H48" s="16"/>
      <c r="I48" s="26"/>
      <c r="J48" s="26"/>
      <c r="K48" s="13"/>
      <c r="L48" s="16"/>
      <c r="M48" s="26"/>
      <c r="N48" s="26"/>
      <c r="O48" s="13"/>
      <c r="P48" s="16"/>
      <c r="Q48" s="26"/>
      <c r="R48" s="26"/>
      <c r="S48" s="13"/>
    </row>
    <row r="49" spans="1:24" ht="23.1" customHeight="1">
      <c r="A49" s="102" t="s">
        <v>14</v>
      </c>
      <c r="B49" s="6" t="s">
        <v>1</v>
      </c>
      <c r="C49" s="13"/>
      <c r="D49" s="10" t="s">
        <v>11</v>
      </c>
      <c r="E49" s="44"/>
      <c r="F49" s="45"/>
      <c r="G49" s="17"/>
      <c r="H49" s="10" t="s">
        <v>11</v>
      </c>
      <c r="I49" s="44"/>
      <c r="J49" s="45"/>
      <c r="K49" s="17"/>
      <c r="L49" s="10" t="s">
        <v>11</v>
      </c>
      <c r="M49" s="44"/>
      <c r="N49" s="45"/>
      <c r="O49" s="17"/>
      <c r="P49" s="10" t="s">
        <v>11</v>
      </c>
      <c r="Q49" s="44"/>
      <c r="R49" s="45"/>
      <c r="S49" s="17"/>
    </row>
    <row r="50" spans="1:24" ht="23.1" customHeight="1">
      <c r="A50" s="103"/>
      <c r="B50" s="7" t="s">
        <v>2</v>
      </c>
      <c r="C50" s="13"/>
      <c r="D50" s="11" t="s">
        <v>11</v>
      </c>
      <c r="E50" s="34"/>
      <c r="F50" s="35"/>
      <c r="G50" s="17"/>
      <c r="H50" s="11" t="s">
        <v>11</v>
      </c>
      <c r="I50" s="34"/>
      <c r="J50" s="35"/>
      <c r="K50" s="17"/>
      <c r="L50" s="11" t="s">
        <v>11</v>
      </c>
      <c r="M50" s="34"/>
      <c r="N50" s="35"/>
      <c r="O50" s="17"/>
      <c r="P50" s="11" t="s">
        <v>11</v>
      </c>
      <c r="Q50" s="34"/>
      <c r="R50" s="35"/>
      <c r="S50" s="17"/>
    </row>
    <row r="51" spans="1:24" ht="23.1" customHeight="1">
      <c r="A51" s="103"/>
      <c r="B51" s="7" t="s">
        <v>3</v>
      </c>
      <c r="C51" s="13"/>
      <c r="D51" s="11" t="s">
        <v>11</v>
      </c>
      <c r="E51" s="34"/>
      <c r="F51" s="35"/>
      <c r="G51" s="17"/>
      <c r="H51" s="11" t="s">
        <v>11</v>
      </c>
      <c r="I51" s="34"/>
      <c r="J51" s="35"/>
      <c r="K51" s="17"/>
      <c r="L51" s="11" t="s">
        <v>11</v>
      </c>
      <c r="M51" s="34"/>
      <c r="N51" s="35"/>
      <c r="O51" s="17"/>
      <c r="P51" s="11" t="s">
        <v>11</v>
      </c>
      <c r="Q51" s="34"/>
      <c r="R51" s="35"/>
      <c r="S51" s="17"/>
    </row>
    <row r="52" spans="1:24" ht="23.1" customHeight="1" thickBot="1">
      <c r="A52" s="104"/>
      <c r="B52" s="8" t="s">
        <v>4</v>
      </c>
      <c r="C52" s="13"/>
      <c r="D52" s="12" t="s">
        <v>11</v>
      </c>
      <c r="E52" s="46"/>
      <c r="F52" s="47"/>
      <c r="G52" s="17"/>
      <c r="H52" s="12" t="s">
        <v>11</v>
      </c>
      <c r="I52" s="46"/>
      <c r="J52" s="47"/>
      <c r="K52" s="17"/>
      <c r="L52" s="12" t="s">
        <v>11</v>
      </c>
      <c r="M52" s="46"/>
      <c r="N52" s="47"/>
      <c r="O52" s="17"/>
      <c r="P52" s="12" t="s">
        <v>11</v>
      </c>
      <c r="Q52" s="46"/>
      <c r="R52" s="47"/>
      <c r="S52" s="17"/>
    </row>
    <row r="53" spans="1:24" ht="4.5" customHeight="1" thickBot="1">
      <c r="A53" s="17"/>
      <c r="B53" s="17"/>
      <c r="C53" s="13"/>
      <c r="D53" s="17"/>
      <c r="E53" s="33"/>
      <c r="F53" s="33"/>
      <c r="G53" s="17"/>
      <c r="H53" s="17"/>
      <c r="I53" s="33"/>
      <c r="J53" s="33"/>
      <c r="K53" s="17"/>
      <c r="L53" s="17"/>
      <c r="M53" s="33"/>
      <c r="N53" s="33"/>
      <c r="O53" s="17"/>
      <c r="P53" s="17"/>
      <c r="Q53" s="33"/>
      <c r="R53" s="33"/>
      <c r="S53" s="17"/>
    </row>
    <row r="54" spans="1:24" ht="23.1" customHeight="1">
      <c r="A54" s="112" t="s">
        <v>0</v>
      </c>
      <c r="B54" s="6" t="s">
        <v>1</v>
      </c>
      <c r="C54" s="13"/>
      <c r="D54" s="10" t="s">
        <v>12</v>
      </c>
      <c r="E54" s="44"/>
      <c r="F54" s="45"/>
      <c r="G54" s="17"/>
      <c r="H54" s="10" t="s">
        <v>12</v>
      </c>
      <c r="I54" s="44"/>
      <c r="J54" s="45"/>
      <c r="K54" s="17"/>
      <c r="L54" s="10" t="s">
        <v>12</v>
      </c>
      <c r="M54" s="44"/>
      <c r="N54" s="45"/>
      <c r="O54" s="17"/>
      <c r="P54" s="10" t="s">
        <v>12</v>
      </c>
      <c r="Q54" s="44"/>
      <c r="R54" s="45"/>
      <c r="S54" s="17"/>
    </row>
    <row r="55" spans="1:24" ht="23.1" customHeight="1">
      <c r="A55" s="113"/>
      <c r="B55" s="7" t="s">
        <v>2</v>
      </c>
      <c r="C55" s="13"/>
      <c r="D55" s="11" t="s">
        <v>12</v>
      </c>
      <c r="E55" s="34"/>
      <c r="F55" s="35"/>
      <c r="G55" s="17"/>
      <c r="H55" s="11" t="s">
        <v>12</v>
      </c>
      <c r="I55" s="34"/>
      <c r="J55" s="35"/>
      <c r="K55" s="17"/>
      <c r="L55" s="11" t="s">
        <v>12</v>
      </c>
      <c r="M55" s="34"/>
      <c r="N55" s="35"/>
      <c r="O55" s="17"/>
      <c r="P55" s="11" t="s">
        <v>12</v>
      </c>
      <c r="Q55" s="34"/>
      <c r="R55" s="35"/>
      <c r="S55" s="17"/>
    </row>
    <row r="56" spans="1:24" ht="23.1" customHeight="1">
      <c r="A56" s="113"/>
      <c r="B56" s="7" t="s">
        <v>3</v>
      </c>
      <c r="C56" s="13"/>
      <c r="D56" s="11" t="s">
        <v>12</v>
      </c>
      <c r="E56" s="34"/>
      <c r="F56" s="35"/>
      <c r="G56" s="17"/>
      <c r="H56" s="11" t="s">
        <v>12</v>
      </c>
      <c r="I56" s="34"/>
      <c r="J56" s="35"/>
      <c r="K56" s="17"/>
      <c r="L56" s="11" t="s">
        <v>12</v>
      </c>
      <c r="M56" s="34"/>
      <c r="N56" s="35"/>
      <c r="O56" s="17"/>
      <c r="P56" s="11" t="s">
        <v>12</v>
      </c>
      <c r="Q56" s="34"/>
      <c r="R56" s="35"/>
      <c r="S56" s="17"/>
    </row>
    <row r="57" spans="1:24" ht="23.1" customHeight="1" thickBot="1">
      <c r="A57" s="114"/>
      <c r="B57" s="8" t="s">
        <v>4</v>
      </c>
      <c r="C57" s="13"/>
      <c r="D57" s="12" t="s">
        <v>12</v>
      </c>
      <c r="E57" s="46"/>
      <c r="F57" s="47"/>
      <c r="G57" s="17"/>
      <c r="H57" s="12" t="s">
        <v>12</v>
      </c>
      <c r="I57" s="46"/>
      <c r="J57" s="47"/>
      <c r="K57" s="17"/>
      <c r="L57" s="12" t="s">
        <v>12</v>
      </c>
      <c r="M57" s="46"/>
      <c r="N57" s="47"/>
      <c r="O57" s="17"/>
      <c r="P57" s="12" t="s">
        <v>12</v>
      </c>
      <c r="Q57" s="46"/>
      <c r="R57" s="47"/>
      <c r="S57" s="17"/>
      <c r="T57" s="82"/>
      <c r="U57" s="82"/>
      <c r="V57" s="82"/>
      <c r="W57" s="82"/>
      <c r="X57" s="82"/>
    </row>
    <row r="58" spans="1:24" ht="4.5" customHeight="1">
      <c r="A58" s="17"/>
      <c r="B58" s="17"/>
      <c r="C58" s="13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82"/>
      <c r="U58" s="82"/>
      <c r="V58" s="82"/>
      <c r="W58" s="82"/>
      <c r="X58" s="82"/>
    </row>
    <row r="61" spans="1:24" ht="15">
      <c r="B61" s="18" t="s">
        <v>92</v>
      </c>
    </row>
  </sheetData>
  <mergeCells count="23">
    <mergeCell ref="P41:R41"/>
    <mergeCell ref="A54:A57"/>
    <mergeCell ref="A25:A28"/>
    <mergeCell ref="A30:A33"/>
    <mergeCell ref="A35:A38"/>
    <mergeCell ref="A44:A47"/>
    <mergeCell ref="A49:A52"/>
    <mergeCell ref="D41:F41"/>
    <mergeCell ref="H41:J41"/>
    <mergeCell ref="L41:N41"/>
    <mergeCell ref="H22:J22"/>
    <mergeCell ref="D22:F22"/>
    <mergeCell ref="A16:A19"/>
    <mergeCell ref="D3:F3"/>
    <mergeCell ref="H3:J3"/>
    <mergeCell ref="A6:A9"/>
    <mergeCell ref="A11:A14"/>
    <mergeCell ref="T3:V3"/>
    <mergeCell ref="P3:R3"/>
    <mergeCell ref="L3:N3"/>
    <mergeCell ref="T22:V22"/>
    <mergeCell ref="P22:R22"/>
    <mergeCell ref="L22:N22"/>
  </mergeCells>
  <printOptions horizontalCentered="1"/>
  <pageMargins left="0.16" right="0.17" top="0.28999999999999998" bottom="0.25" header="0.36" footer="0.16"/>
  <pageSetup scale="74" orientation="landscape" horizontalDpi="300" verticalDpi="300" r:id="rId1"/>
  <rowBreaks count="1" manualBreakCount="1">
    <brk id="39" max="22" man="1"/>
  </rowBreaks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140"/>
  <sheetViews>
    <sheetView view="pageBreakPreview" topLeftCell="A73" zoomScale="85" zoomScaleNormal="55" zoomScaleSheetLayoutView="85" workbookViewId="0">
      <selection activeCell="F136" sqref="F136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22" width="10.42578125" style="1" customWidth="1"/>
    <col min="23" max="23" width="0.85546875" style="1" customWidth="1"/>
    <col min="24" max="26" width="10.42578125" style="1" customWidth="1"/>
    <col min="27" max="27" width="0.85546875" style="1" customWidth="1"/>
    <col min="28" max="30" width="10.42578125" style="1" customWidth="1"/>
    <col min="31" max="31" width="0.85546875" style="1" customWidth="1"/>
    <col min="32" max="34" width="10.42578125" style="1" customWidth="1"/>
    <col min="35" max="35" width="0.85546875" style="1" customWidth="1"/>
    <col min="36" max="38" width="10.42578125" style="1" customWidth="1"/>
    <col min="39" max="39" width="0.85546875" style="1" customWidth="1"/>
    <col min="40" max="42" width="10.42578125" style="1" customWidth="1"/>
    <col min="43" max="43" width="0.85546875" style="1" customWidth="1"/>
    <col min="44" max="46" width="10.42578125" style="1" customWidth="1"/>
    <col min="47" max="47" width="0.85546875" style="1" customWidth="1"/>
    <col min="48" max="50" width="10.42578125" style="1" customWidth="1"/>
    <col min="51" max="51" width="0.85546875" style="1" customWidth="1"/>
    <col min="52" max="54" width="10.42578125" style="1" customWidth="1"/>
    <col min="55" max="55" width="0.85546875" style="1" customWidth="1"/>
    <col min="56" max="58" width="10.42578125" style="1" customWidth="1"/>
    <col min="59" max="59" width="0.85546875" style="1" customWidth="1"/>
    <col min="60" max="16384" width="9.140625" style="1"/>
  </cols>
  <sheetData>
    <row r="1" spans="1:23" ht="23.25">
      <c r="A1" s="86" t="s">
        <v>141</v>
      </c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23" ht="15" thickBot="1"/>
    <row r="3" spans="1:23" ht="15">
      <c r="B3" s="9" t="s">
        <v>9</v>
      </c>
      <c r="D3" s="105" t="s">
        <v>10</v>
      </c>
      <c r="E3" s="106"/>
      <c r="F3" s="107"/>
      <c r="H3" s="108">
        <v>40379</v>
      </c>
      <c r="I3" s="106"/>
      <c r="J3" s="107"/>
      <c r="L3" s="108">
        <v>40389</v>
      </c>
      <c r="M3" s="106"/>
      <c r="N3" s="107"/>
      <c r="P3" s="108">
        <v>40401</v>
      </c>
      <c r="Q3" s="106"/>
      <c r="R3" s="107"/>
      <c r="T3" s="108">
        <v>40410</v>
      </c>
      <c r="U3" s="106"/>
      <c r="V3" s="107"/>
    </row>
    <row r="4" spans="1:23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  <c r="T4" s="63" t="s">
        <v>6</v>
      </c>
      <c r="U4" s="61" t="s">
        <v>7</v>
      </c>
      <c r="V4" s="64" t="s">
        <v>8</v>
      </c>
    </row>
    <row r="5" spans="1:23" s="3" customFormat="1" ht="5.0999999999999996" customHeight="1" thickBot="1">
      <c r="A5" s="14"/>
      <c r="B5" s="15"/>
      <c r="C5" s="13"/>
      <c r="D5" s="16"/>
      <c r="E5" s="26"/>
      <c r="F5" s="26"/>
      <c r="G5" s="13"/>
      <c r="H5" s="16"/>
      <c r="I5" s="26"/>
      <c r="J5" s="26"/>
      <c r="K5" s="13"/>
      <c r="L5" s="16"/>
      <c r="M5" s="26"/>
      <c r="N5" s="26"/>
      <c r="O5" s="13"/>
      <c r="P5" s="16"/>
      <c r="Q5" s="26"/>
      <c r="R5" s="26"/>
      <c r="S5" s="13"/>
      <c r="T5" s="16"/>
      <c r="U5" s="26"/>
      <c r="V5" s="26"/>
      <c r="W5" s="13"/>
    </row>
    <row r="6" spans="1:23" ht="23.1" customHeight="1">
      <c r="A6" s="119" t="s">
        <v>16</v>
      </c>
      <c r="B6" s="6" t="s">
        <v>1</v>
      </c>
      <c r="C6" s="13"/>
      <c r="D6" s="10" t="s">
        <v>12</v>
      </c>
      <c r="E6" s="20">
        <v>4.09</v>
      </c>
      <c r="F6" s="21">
        <f>4.6*35</f>
        <v>161</v>
      </c>
      <c r="G6" s="17"/>
      <c r="H6" s="10" t="s">
        <v>12</v>
      </c>
      <c r="I6" s="20">
        <v>4.07</v>
      </c>
      <c r="J6" s="21">
        <f>5.04*35</f>
        <v>176.4</v>
      </c>
      <c r="K6" s="17"/>
      <c r="L6" s="10" t="s">
        <v>12</v>
      </c>
      <c r="M6" s="20">
        <v>3.78</v>
      </c>
      <c r="N6" s="21">
        <f>3.96*35</f>
        <v>138.6</v>
      </c>
      <c r="O6" s="17"/>
      <c r="P6" s="10" t="s">
        <v>12</v>
      </c>
      <c r="Q6" s="20">
        <v>1.94</v>
      </c>
      <c r="R6" s="21">
        <f>1.58*35</f>
        <v>55.300000000000004</v>
      </c>
      <c r="S6" s="17"/>
      <c r="T6" s="10" t="s">
        <v>12</v>
      </c>
      <c r="U6" s="20">
        <v>4.43</v>
      </c>
      <c r="V6" s="21">
        <f>5.04*35</f>
        <v>176.4</v>
      </c>
      <c r="W6" s="17"/>
    </row>
    <row r="7" spans="1:23" ht="23.1" customHeight="1">
      <c r="A7" s="120"/>
      <c r="B7" s="7" t="s">
        <v>2</v>
      </c>
      <c r="C7" s="13"/>
      <c r="D7" s="11" t="s">
        <v>12</v>
      </c>
      <c r="E7" s="22">
        <v>3.71</v>
      </c>
      <c r="F7" s="23">
        <f>6.2*35</f>
        <v>217</v>
      </c>
      <c r="G7" s="17"/>
      <c r="H7" s="11" t="s">
        <v>12</v>
      </c>
      <c r="I7" s="22">
        <v>4.26</v>
      </c>
      <c r="J7" s="23">
        <f>4.42*35</f>
        <v>154.69999999999999</v>
      </c>
      <c r="K7" s="17"/>
      <c r="L7" s="11" t="s">
        <v>12</v>
      </c>
      <c r="M7" s="22">
        <v>4.13</v>
      </c>
      <c r="N7" s="23">
        <f>7.34*35</f>
        <v>256.89999999999998</v>
      </c>
      <c r="O7" s="17"/>
      <c r="P7" s="11" t="s">
        <v>12</v>
      </c>
      <c r="Q7" s="22">
        <v>1.66</v>
      </c>
      <c r="R7" s="23">
        <f>2.08*35</f>
        <v>72.8</v>
      </c>
      <c r="S7" s="17"/>
      <c r="T7" s="11" t="s">
        <v>12</v>
      </c>
      <c r="U7" s="22">
        <v>1.92</v>
      </c>
      <c r="V7" s="23">
        <f>2.96*35</f>
        <v>103.6</v>
      </c>
      <c r="W7" s="17"/>
    </row>
    <row r="8" spans="1:23" ht="23.1" customHeight="1">
      <c r="A8" s="120"/>
      <c r="B8" s="7" t="s">
        <v>3</v>
      </c>
      <c r="C8" s="13"/>
      <c r="D8" s="11" t="s">
        <v>12</v>
      </c>
      <c r="E8" s="22">
        <v>2.91</v>
      </c>
      <c r="F8" s="23">
        <f>3.54*35</f>
        <v>123.9</v>
      </c>
      <c r="G8" s="17"/>
      <c r="H8" s="11" t="s">
        <v>12</v>
      </c>
      <c r="I8" s="22">
        <v>2.0099999999999998</v>
      </c>
      <c r="J8" s="23">
        <f>2.26*35</f>
        <v>79.099999999999994</v>
      </c>
      <c r="K8" s="17"/>
      <c r="L8" s="11" t="s">
        <v>12</v>
      </c>
      <c r="M8" s="22">
        <v>1.86</v>
      </c>
      <c r="N8" s="23">
        <f>4.15*35</f>
        <v>145.25</v>
      </c>
      <c r="O8" s="17"/>
      <c r="P8" s="11" t="s">
        <v>12</v>
      </c>
      <c r="Q8" s="22">
        <v>1.64</v>
      </c>
      <c r="R8" s="23">
        <f>2.17*35</f>
        <v>75.95</v>
      </c>
      <c r="S8" s="17"/>
      <c r="T8" s="11" t="s">
        <v>12</v>
      </c>
      <c r="U8" s="22">
        <v>3.52</v>
      </c>
      <c r="V8" s="23">
        <f>5.34*35</f>
        <v>186.9</v>
      </c>
      <c r="W8" s="17"/>
    </row>
    <row r="9" spans="1:23" ht="23.1" customHeight="1" thickBot="1">
      <c r="A9" s="74" t="s">
        <v>99</v>
      </c>
      <c r="B9" s="8" t="s">
        <v>4</v>
      </c>
      <c r="C9" s="13"/>
      <c r="D9" s="12" t="s">
        <v>12</v>
      </c>
      <c r="E9" s="93"/>
      <c r="F9" s="94"/>
      <c r="G9" s="17"/>
      <c r="H9" s="12" t="s">
        <v>12</v>
      </c>
      <c r="I9" s="24">
        <v>1.84</v>
      </c>
      <c r="J9" s="25">
        <f>1.87*35</f>
        <v>65.45</v>
      </c>
      <c r="K9" s="17"/>
      <c r="L9" s="12" t="s">
        <v>12</v>
      </c>
      <c r="M9" s="24">
        <v>1.56</v>
      </c>
      <c r="N9" s="25">
        <f>2.65*35</f>
        <v>92.75</v>
      </c>
      <c r="O9" s="17"/>
      <c r="P9" s="12" t="s">
        <v>12</v>
      </c>
      <c r="Q9" s="24">
        <v>1.5</v>
      </c>
      <c r="R9" s="25">
        <f>2.2*35</f>
        <v>77</v>
      </c>
      <c r="S9" s="17"/>
      <c r="T9" s="12" t="s">
        <v>12</v>
      </c>
      <c r="U9" s="24">
        <v>2.29</v>
      </c>
      <c r="V9" s="25">
        <f>2.61*35</f>
        <v>91.35</v>
      </c>
      <c r="W9" s="17"/>
    </row>
    <row r="10" spans="1:23" s="3" customFormat="1" ht="5.0999999999999996" customHeight="1" thickBot="1">
      <c r="A10" s="14"/>
      <c r="B10" s="15"/>
      <c r="C10" s="13"/>
      <c r="D10" s="16"/>
      <c r="E10" s="26"/>
      <c r="F10" s="26"/>
      <c r="G10" s="13"/>
      <c r="H10" s="16"/>
      <c r="I10" s="26"/>
      <c r="J10" s="26"/>
      <c r="K10" s="13"/>
      <c r="L10" s="16"/>
      <c r="M10" s="26"/>
      <c r="N10" s="26"/>
      <c r="O10" s="13"/>
      <c r="P10" s="16"/>
      <c r="Q10" s="26"/>
      <c r="R10" s="26"/>
      <c r="S10" s="13"/>
      <c r="T10" s="16"/>
      <c r="U10" s="26"/>
      <c r="V10" s="26"/>
      <c r="W10" s="13"/>
    </row>
    <row r="11" spans="1:23" ht="23.1" customHeight="1">
      <c r="A11" s="119" t="s">
        <v>16</v>
      </c>
      <c r="B11" s="6" t="s">
        <v>1</v>
      </c>
      <c r="C11" s="13"/>
      <c r="D11" s="10" t="s">
        <v>12</v>
      </c>
      <c r="E11" s="20">
        <v>4.09</v>
      </c>
      <c r="F11" s="21">
        <f>4.6*35</f>
        <v>161</v>
      </c>
      <c r="G11" s="17"/>
      <c r="H11" s="10" t="s">
        <v>12</v>
      </c>
      <c r="I11" s="20">
        <v>4.07</v>
      </c>
      <c r="J11" s="21">
        <f>5.04*35</f>
        <v>176.4</v>
      </c>
      <c r="K11" s="17"/>
      <c r="L11" s="10" t="s">
        <v>12</v>
      </c>
      <c r="M11" s="20">
        <v>3.78</v>
      </c>
      <c r="N11" s="21">
        <f>3.96*35</f>
        <v>138.6</v>
      </c>
      <c r="O11" s="17"/>
      <c r="P11" s="10" t="s">
        <v>12</v>
      </c>
      <c r="Q11" s="20">
        <v>1.94</v>
      </c>
      <c r="R11" s="21">
        <f>1.58*35</f>
        <v>55.300000000000004</v>
      </c>
      <c r="S11" s="17"/>
      <c r="T11" s="10" t="s">
        <v>12</v>
      </c>
      <c r="U11" s="20">
        <v>4.43</v>
      </c>
      <c r="V11" s="21">
        <f>5.04*35</f>
        <v>176.4</v>
      </c>
      <c r="W11" s="17"/>
    </row>
    <row r="12" spans="1:23" ht="23.1" customHeight="1">
      <c r="A12" s="120"/>
      <c r="B12" s="7" t="s">
        <v>2</v>
      </c>
      <c r="C12" s="13"/>
      <c r="D12" s="11" t="s">
        <v>12</v>
      </c>
      <c r="E12" s="22">
        <v>3.71</v>
      </c>
      <c r="F12" s="23">
        <f>6.2*35</f>
        <v>217</v>
      </c>
      <c r="G12" s="17"/>
      <c r="H12" s="11" t="s">
        <v>12</v>
      </c>
      <c r="I12" s="22">
        <v>4.26</v>
      </c>
      <c r="J12" s="23">
        <f>4.42*35</f>
        <v>154.69999999999999</v>
      </c>
      <c r="K12" s="17"/>
      <c r="L12" s="11" t="s">
        <v>12</v>
      </c>
      <c r="M12" s="22">
        <v>4.13</v>
      </c>
      <c r="N12" s="23">
        <f>7.34*35</f>
        <v>256.89999999999998</v>
      </c>
      <c r="O12" s="17"/>
      <c r="P12" s="11" t="s">
        <v>12</v>
      </c>
      <c r="Q12" s="22">
        <v>1.66</v>
      </c>
      <c r="R12" s="23">
        <f>2.08*35</f>
        <v>72.8</v>
      </c>
      <c r="S12" s="17"/>
      <c r="T12" s="11" t="s">
        <v>12</v>
      </c>
      <c r="U12" s="22">
        <v>1.92</v>
      </c>
      <c r="V12" s="23">
        <f>2.96*35</f>
        <v>103.6</v>
      </c>
      <c r="W12" s="17"/>
    </row>
    <row r="13" spans="1:23" ht="23.1" customHeight="1">
      <c r="A13" s="120"/>
      <c r="B13" s="7" t="s">
        <v>3</v>
      </c>
      <c r="C13" s="13"/>
      <c r="D13" s="11" t="s">
        <v>12</v>
      </c>
      <c r="E13" s="22">
        <v>2.91</v>
      </c>
      <c r="F13" s="23">
        <f>3.54*35</f>
        <v>123.9</v>
      </c>
      <c r="G13" s="17"/>
      <c r="H13" s="11" t="s">
        <v>12</v>
      </c>
      <c r="I13" s="22">
        <v>2.0099999999999998</v>
      </c>
      <c r="J13" s="23">
        <f>2.26*35</f>
        <v>79.099999999999994</v>
      </c>
      <c r="K13" s="17"/>
      <c r="L13" s="11" t="s">
        <v>12</v>
      </c>
      <c r="M13" s="22">
        <v>1.86</v>
      </c>
      <c r="N13" s="23">
        <f>4.15*35</f>
        <v>145.25</v>
      </c>
      <c r="O13" s="17"/>
      <c r="P13" s="11" t="s">
        <v>12</v>
      </c>
      <c r="Q13" s="22">
        <v>1.64</v>
      </c>
      <c r="R13" s="23">
        <f>2.17*35</f>
        <v>75.95</v>
      </c>
      <c r="S13" s="17"/>
      <c r="T13" s="11" t="s">
        <v>12</v>
      </c>
      <c r="U13" s="22">
        <v>3.52</v>
      </c>
      <c r="V13" s="23">
        <f>5.34*35</f>
        <v>186.9</v>
      </c>
      <c r="W13" s="17"/>
    </row>
    <row r="14" spans="1:23" ht="23.1" customHeight="1" thickBot="1">
      <c r="A14" s="74" t="s">
        <v>100</v>
      </c>
      <c r="B14" s="8" t="s">
        <v>4</v>
      </c>
      <c r="C14" s="13"/>
      <c r="D14" s="12" t="s">
        <v>12</v>
      </c>
      <c r="E14" s="93"/>
      <c r="F14" s="94"/>
      <c r="G14" s="17"/>
      <c r="H14" s="12" t="s">
        <v>12</v>
      </c>
      <c r="I14" s="24">
        <v>1.84</v>
      </c>
      <c r="J14" s="25">
        <f>1.87*35</f>
        <v>65.45</v>
      </c>
      <c r="K14" s="17"/>
      <c r="L14" s="12" t="s">
        <v>12</v>
      </c>
      <c r="M14" s="24">
        <v>1.56</v>
      </c>
      <c r="N14" s="25">
        <f>2.65*35</f>
        <v>92.75</v>
      </c>
      <c r="O14" s="17"/>
      <c r="P14" s="12" t="s">
        <v>12</v>
      </c>
      <c r="Q14" s="24">
        <v>1.5</v>
      </c>
      <c r="R14" s="25">
        <f>2.2*35</f>
        <v>77</v>
      </c>
      <c r="S14" s="17"/>
      <c r="T14" s="12" t="s">
        <v>12</v>
      </c>
      <c r="U14" s="24">
        <v>2.29</v>
      </c>
      <c r="V14" s="25">
        <f>2.61*35</f>
        <v>91.35</v>
      </c>
      <c r="W14" s="17"/>
    </row>
    <row r="15" spans="1:23" s="3" customFormat="1" ht="5.0999999999999996" customHeight="1" thickBot="1">
      <c r="A15" s="14"/>
      <c r="B15" s="15"/>
      <c r="C15" s="13"/>
      <c r="D15" s="16"/>
      <c r="E15" s="26"/>
      <c r="F15" s="26"/>
      <c r="G15" s="13"/>
      <c r="H15" s="16"/>
      <c r="I15" s="26"/>
      <c r="J15" s="26"/>
      <c r="K15" s="13"/>
      <c r="L15" s="16"/>
      <c r="M15" s="26"/>
      <c r="N15" s="26"/>
      <c r="O15" s="13"/>
      <c r="P15" s="16"/>
      <c r="Q15" s="26"/>
      <c r="R15" s="26"/>
      <c r="S15" s="13"/>
      <c r="T15" s="16"/>
      <c r="U15" s="26"/>
      <c r="V15" s="26"/>
      <c r="W15" s="13"/>
    </row>
    <row r="16" spans="1:23" ht="23.1" customHeight="1">
      <c r="A16" s="115" t="s">
        <v>16</v>
      </c>
      <c r="B16" s="6" t="s">
        <v>1</v>
      </c>
      <c r="C16" s="13"/>
      <c r="D16" s="10" t="s">
        <v>12</v>
      </c>
      <c r="E16" s="20">
        <v>3.65</v>
      </c>
      <c r="F16" s="21">
        <f>2.02*35</f>
        <v>70.7</v>
      </c>
      <c r="G16" s="17"/>
      <c r="H16" s="10" t="s">
        <v>12</v>
      </c>
      <c r="I16" s="20">
        <v>5.96</v>
      </c>
      <c r="J16" s="21">
        <f>14.3*35</f>
        <v>500.5</v>
      </c>
      <c r="K16" s="17"/>
      <c r="L16" s="10" t="s">
        <v>12</v>
      </c>
      <c r="M16" s="20">
        <v>5.31</v>
      </c>
      <c r="N16" s="21">
        <f>11.1*35</f>
        <v>388.5</v>
      </c>
      <c r="O16" s="17"/>
      <c r="P16" s="10" t="s">
        <v>12</v>
      </c>
      <c r="Q16" s="20">
        <v>4.34</v>
      </c>
      <c r="R16" s="21">
        <f>7.62*35</f>
        <v>266.7</v>
      </c>
      <c r="S16" s="17"/>
      <c r="T16" s="10" t="s">
        <v>12</v>
      </c>
      <c r="U16" s="20">
        <v>3.92</v>
      </c>
      <c r="V16" s="21">
        <f>3.22*35</f>
        <v>112.7</v>
      </c>
      <c r="W16" s="17"/>
    </row>
    <row r="17" spans="1:23" ht="23.1" customHeight="1">
      <c r="A17" s="116"/>
      <c r="B17" s="7" t="s">
        <v>2</v>
      </c>
      <c r="C17" s="13"/>
      <c r="D17" s="11" t="s">
        <v>12</v>
      </c>
      <c r="E17" s="22">
        <v>3.54</v>
      </c>
      <c r="F17" s="23">
        <f>2.84*35</f>
        <v>99.399999999999991</v>
      </c>
      <c r="G17" s="17"/>
      <c r="H17" s="11" t="s">
        <v>12</v>
      </c>
      <c r="I17" s="22">
        <v>4.0999999999999996</v>
      </c>
      <c r="J17" s="23">
        <f>9.46*35</f>
        <v>331.1</v>
      </c>
      <c r="K17" s="17"/>
      <c r="L17" s="11" t="s">
        <v>12</v>
      </c>
      <c r="M17" s="22">
        <v>4.03</v>
      </c>
      <c r="N17" s="23">
        <f>9.24*35</f>
        <v>323.40000000000003</v>
      </c>
      <c r="O17" s="17"/>
      <c r="P17" s="11" t="s">
        <v>12</v>
      </c>
      <c r="Q17" s="22">
        <v>2.85</v>
      </c>
      <c r="R17" s="23">
        <f>3.87*35</f>
        <v>135.45000000000002</v>
      </c>
      <c r="S17" s="17"/>
      <c r="T17" s="11" t="s">
        <v>12</v>
      </c>
      <c r="U17" s="22">
        <v>3.92</v>
      </c>
      <c r="V17" s="23">
        <f>4.78*35</f>
        <v>167.3</v>
      </c>
      <c r="W17" s="17"/>
    </row>
    <row r="18" spans="1:23" ht="23.1" customHeight="1">
      <c r="A18" s="116"/>
      <c r="B18" s="7" t="s">
        <v>3</v>
      </c>
      <c r="C18" s="13"/>
      <c r="D18" s="11" t="s">
        <v>12</v>
      </c>
      <c r="E18" s="22">
        <v>4.0199999999999996</v>
      </c>
      <c r="F18" s="23">
        <f>4.22*35</f>
        <v>147.69999999999999</v>
      </c>
      <c r="G18" s="17"/>
      <c r="H18" s="11" t="s">
        <v>12</v>
      </c>
      <c r="I18" s="22">
        <v>2.66</v>
      </c>
      <c r="J18" s="23">
        <f>5.12*35</f>
        <v>179.20000000000002</v>
      </c>
      <c r="K18" s="17"/>
      <c r="L18" s="11" t="s">
        <v>12</v>
      </c>
      <c r="M18" s="22">
        <v>2.33</v>
      </c>
      <c r="N18" s="23">
        <f>3.59*35</f>
        <v>125.64999999999999</v>
      </c>
      <c r="O18" s="17"/>
      <c r="P18" s="11" t="s">
        <v>12</v>
      </c>
      <c r="Q18" s="22">
        <v>2.67</v>
      </c>
      <c r="R18" s="23">
        <f>4.06*35</f>
        <v>142.1</v>
      </c>
      <c r="S18" s="17"/>
      <c r="T18" s="11" t="s">
        <v>12</v>
      </c>
      <c r="U18" s="22">
        <v>2.1800000000000002</v>
      </c>
      <c r="V18" s="23">
        <f>2.61*35</f>
        <v>91.35</v>
      </c>
      <c r="W18" s="17"/>
    </row>
    <row r="19" spans="1:23" ht="23.1" customHeight="1" thickBot="1">
      <c r="A19" s="75" t="s">
        <v>101</v>
      </c>
      <c r="B19" s="8" t="s">
        <v>4</v>
      </c>
      <c r="C19" s="13"/>
      <c r="D19" s="12" t="s">
        <v>12</v>
      </c>
      <c r="E19" s="46"/>
      <c r="F19" s="47"/>
      <c r="G19" s="17"/>
      <c r="H19" s="12" t="s">
        <v>12</v>
      </c>
      <c r="I19" s="24">
        <v>1.65</v>
      </c>
      <c r="J19" s="25">
        <f>2.35*35</f>
        <v>82.25</v>
      </c>
      <c r="K19" s="17"/>
      <c r="L19" s="12" t="s">
        <v>12</v>
      </c>
      <c r="M19" s="24">
        <v>2.0099999999999998</v>
      </c>
      <c r="N19" s="25">
        <f>2.65*35</f>
        <v>92.75</v>
      </c>
      <c r="O19" s="17"/>
      <c r="P19" s="12" t="s">
        <v>12</v>
      </c>
      <c r="Q19" s="24">
        <v>2.56</v>
      </c>
      <c r="R19" s="25">
        <f>3.89*35</f>
        <v>136.15</v>
      </c>
      <c r="S19" s="17"/>
      <c r="T19" s="12" t="s">
        <v>12</v>
      </c>
      <c r="U19" s="24">
        <v>2.64</v>
      </c>
      <c r="V19" s="25">
        <f>2.72*35</f>
        <v>95.2</v>
      </c>
      <c r="W19" s="17"/>
    </row>
    <row r="20" spans="1:23" ht="5.0999999999999996" customHeight="1" thickBot="1">
      <c r="A20" s="17"/>
      <c r="B20" s="17"/>
      <c r="C20" s="13"/>
      <c r="D20" s="17"/>
      <c r="E20" s="33"/>
      <c r="F20" s="33"/>
      <c r="G20" s="17"/>
      <c r="H20" s="17"/>
      <c r="I20" s="33"/>
      <c r="J20" s="33"/>
      <c r="K20" s="17"/>
      <c r="L20" s="17"/>
      <c r="M20" s="33"/>
      <c r="N20" s="33"/>
      <c r="O20" s="17"/>
      <c r="P20" s="17"/>
      <c r="Q20" s="33"/>
      <c r="R20" s="33"/>
      <c r="S20" s="17"/>
      <c r="T20" s="17"/>
      <c r="U20" s="33"/>
      <c r="V20" s="33"/>
      <c r="W20" s="17"/>
    </row>
    <row r="21" spans="1:23" ht="23.1" customHeight="1">
      <c r="A21" s="115" t="s">
        <v>16</v>
      </c>
      <c r="B21" s="6" t="s">
        <v>1</v>
      </c>
      <c r="C21" s="13"/>
      <c r="D21" s="10" t="s">
        <v>12</v>
      </c>
      <c r="E21" s="20">
        <v>3.65</v>
      </c>
      <c r="F21" s="21">
        <f>2.02*35</f>
        <v>70.7</v>
      </c>
      <c r="G21" s="17"/>
      <c r="H21" s="10" t="s">
        <v>12</v>
      </c>
      <c r="I21" s="20">
        <v>5.96</v>
      </c>
      <c r="J21" s="21">
        <f>14.3*35</f>
        <v>500.5</v>
      </c>
      <c r="K21" s="17"/>
      <c r="L21" s="10" t="s">
        <v>12</v>
      </c>
      <c r="M21" s="20">
        <v>5.31</v>
      </c>
      <c r="N21" s="21">
        <f>11.1*35</f>
        <v>388.5</v>
      </c>
      <c r="O21" s="17"/>
      <c r="P21" s="10" t="s">
        <v>12</v>
      </c>
      <c r="Q21" s="20">
        <v>4.34</v>
      </c>
      <c r="R21" s="21">
        <f>7.62*35</f>
        <v>266.7</v>
      </c>
      <c r="S21" s="17"/>
      <c r="T21" s="10" t="s">
        <v>12</v>
      </c>
      <c r="U21" s="20">
        <v>3.92</v>
      </c>
      <c r="V21" s="21">
        <f>3.22*35</f>
        <v>112.7</v>
      </c>
      <c r="W21" s="17"/>
    </row>
    <row r="22" spans="1:23" ht="23.1" customHeight="1">
      <c r="A22" s="116"/>
      <c r="B22" s="7" t="s">
        <v>2</v>
      </c>
      <c r="C22" s="13"/>
      <c r="D22" s="11" t="s">
        <v>12</v>
      </c>
      <c r="E22" s="22">
        <v>3.54</v>
      </c>
      <c r="F22" s="23">
        <f>2.84*35</f>
        <v>99.399999999999991</v>
      </c>
      <c r="G22" s="17"/>
      <c r="H22" s="11" t="s">
        <v>12</v>
      </c>
      <c r="I22" s="22">
        <v>4.0999999999999996</v>
      </c>
      <c r="J22" s="23">
        <f>9.46*35</f>
        <v>331.1</v>
      </c>
      <c r="K22" s="17"/>
      <c r="L22" s="11" t="s">
        <v>12</v>
      </c>
      <c r="M22" s="22">
        <v>4.03</v>
      </c>
      <c r="N22" s="23">
        <f>9.24*35</f>
        <v>323.40000000000003</v>
      </c>
      <c r="O22" s="17"/>
      <c r="P22" s="11" t="s">
        <v>12</v>
      </c>
      <c r="Q22" s="22">
        <v>2.85</v>
      </c>
      <c r="R22" s="23">
        <f>3.87*35</f>
        <v>135.45000000000002</v>
      </c>
      <c r="S22" s="17"/>
      <c r="T22" s="11" t="s">
        <v>12</v>
      </c>
      <c r="U22" s="22">
        <v>3.92</v>
      </c>
      <c r="V22" s="23">
        <f>4.78*35</f>
        <v>167.3</v>
      </c>
      <c r="W22" s="17"/>
    </row>
    <row r="23" spans="1:23" ht="23.1" customHeight="1">
      <c r="A23" s="116"/>
      <c r="B23" s="7" t="s">
        <v>3</v>
      </c>
      <c r="C23" s="13"/>
      <c r="D23" s="11" t="s">
        <v>12</v>
      </c>
      <c r="E23" s="22">
        <v>4.0199999999999996</v>
      </c>
      <c r="F23" s="23">
        <f>4.22*35</f>
        <v>147.69999999999999</v>
      </c>
      <c r="G23" s="17"/>
      <c r="H23" s="11" t="s">
        <v>12</v>
      </c>
      <c r="I23" s="22">
        <v>2.66</v>
      </c>
      <c r="J23" s="23">
        <f>5.12*35</f>
        <v>179.20000000000002</v>
      </c>
      <c r="K23" s="17"/>
      <c r="L23" s="11" t="s">
        <v>12</v>
      </c>
      <c r="M23" s="22">
        <v>2.33</v>
      </c>
      <c r="N23" s="23">
        <f>3.59*35</f>
        <v>125.64999999999999</v>
      </c>
      <c r="O23" s="17"/>
      <c r="P23" s="11" t="s">
        <v>12</v>
      </c>
      <c r="Q23" s="22">
        <v>2.67</v>
      </c>
      <c r="R23" s="23">
        <f>4.06*35</f>
        <v>142.1</v>
      </c>
      <c r="S23" s="17"/>
      <c r="T23" s="11" t="s">
        <v>12</v>
      </c>
      <c r="U23" s="22">
        <v>2.1800000000000002</v>
      </c>
      <c r="V23" s="23">
        <f>2.61*35</f>
        <v>91.35</v>
      </c>
      <c r="W23" s="17"/>
    </row>
    <row r="24" spans="1:23" ht="23.1" customHeight="1" thickBot="1">
      <c r="A24" s="75" t="s">
        <v>102</v>
      </c>
      <c r="B24" s="8" t="s">
        <v>4</v>
      </c>
      <c r="C24" s="13"/>
      <c r="D24" s="12" t="s">
        <v>12</v>
      </c>
      <c r="E24" s="46"/>
      <c r="F24" s="47"/>
      <c r="G24" s="17"/>
      <c r="H24" s="12" t="s">
        <v>12</v>
      </c>
      <c r="I24" s="24">
        <v>1.65</v>
      </c>
      <c r="J24" s="25">
        <f>2.35*35</f>
        <v>82.25</v>
      </c>
      <c r="K24" s="17"/>
      <c r="L24" s="12" t="s">
        <v>12</v>
      </c>
      <c r="M24" s="24">
        <v>2.0099999999999998</v>
      </c>
      <c r="N24" s="25">
        <f>2.65*35</f>
        <v>92.75</v>
      </c>
      <c r="O24" s="17"/>
      <c r="P24" s="12" t="s">
        <v>12</v>
      </c>
      <c r="Q24" s="24">
        <v>2.56</v>
      </c>
      <c r="R24" s="25">
        <f>3.89*35</f>
        <v>136.15</v>
      </c>
      <c r="S24" s="17"/>
      <c r="T24" s="12" t="s">
        <v>12</v>
      </c>
      <c r="U24" s="24">
        <v>2.64</v>
      </c>
      <c r="V24" s="25">
        <f>2.72*35</f>
        <v>95.2</v>
      </c>
      <c r="W24" s="17"/>
    </row>
    <row r="25" spans="1:23" ht="5.0999999999999996" customHeight="1" thickBot="1">
      <c r="A25" s="17"/>
      <c r="B25" s="17"/>
      <c r="C25" s="13"/>
      <c r="D25" s="17"/>
      <c r="E25" s="33"/>
      <c r="F25" s="33"/>
      <c r="G25" s="17"/>
      <c r="H25" s="17"/>
      <c r="I25" s="33"/>
      <c r="J25" s="33"/>
      <c r="K25" s="17"/>
      <c r="L25" s="17"/>
      <c r="M25" s="33"/>
      <c r="N25" s="33"/>
      <c r="O25" s="17"/>
      <c r="P25" s="17"/>
      <c r="Q25" s="33"/>
      <c r="R25" s="33"/>
      <c r="S25" s="17"/>
      <c r="T25" s="17"/>
      <c r="U25" s="33"/>
      <c r="V25" s="33"/>
      <c r="W25" s="17"/>
    </row>
    <row r="26" spans="1:23" ht="23.1" customHeight="1">
      <c r="A26" s="100" t="s">
        <v>16</v>
      </c>
      <c r="B26" s="6" t="s">
        <v>1</v>
      </c>
      <c r="C26" s="13"/>
      <c r="D26" s="10" t="s">
        <v>15</v>
      </c>
      <c r="E26" s="20">
        <v>5.49</v>
      </c>
      <c r="F26" s="21">
        <f>13.7*35</f>
        <v>479.5</v>
      </c>
      <c r="G26" s="17"/>
      <c r="H26" s="10" t="s">
        <v>15</v>
      </c>
      <c r="I26" s="20">
        <v>5.12</v>
      </c>
      <c r="J26" s="21">
        <f>7.84*35</f>
        <v>274.39999999999998</v>
      </c>
      <c r="K26" s="17"/>
      <c r="L26" s="10" t="s">
        <v>15</v>
      </c>
      <c r="M26" s="20">
        <v>6.75</v>
      </c>
      <c r="N26" s="21">
        <f>20.2*35</f>
        <v>707</v>
      </c>
      <c r="O26" s="17"/>
      <c r="P26" s="10" t="s">
        <v>15</v>
      </c>
      <c r="Q26" s="20">
        <v>2.59</v>
      </c>
      <c r="R26" s="21">
        <f>2.42*35</f>
        <v>84.7</v>
      </c>
      <c r="S26" s="17"/>
      <c r="T26" s="10" t="s">
        <v>15</v>
      </c>
      <c r="U26" s="20">
        <v>5.86</v>
      </c>
      <c r="V26" s="21">
        <f>16.3*35</f>
        <v>570.5</v>
      </c>
      <c r="W26" s="17"/>
    </row>
    <row r="27" spans="1:23" ht="23.1" customHeight="1">
      <c r="A27" s="101"/>
      <c r="B27" s="7" t="s">
        <v>2</v>
      </c>
      <c r="C27" s="13"/>
      <c r="D27" s="11" t="s">
        <v>15</v>
      </c>
      <c r="E27" s="22">
        <v>4.58</v>
      </c>
      <c r="F27" s="23">
        <f>8.56*35</f>
        <v>299.60000000000002</v>
      </c>
      <c r="G27" s="17"/>
      <c r="H27" s="11" t="s">
        <v>15</v>
      </c>
      <c r="I27" s="22">
        <v>4.8099999999999996</v>
      </c>
      <c r="J27" s="23">
        <f>6.26*35</f>
        <v>219.1</v>
      </c>
      <c r="K27" s="17"/>
      <c r="L27" s="11" t="s">
        <v>15</v>
      </c>
      <c r="M27" s="22">
        <v>5.54</v>
      </c>
      <c r="N27" s="23">
        <f>11.6*35</f>
        <v>406</v>
      </c>
      <c r="O27" s="17"/>
      <c r="P27" s="11" t="s">
        <v>15</v>
      </c>
      <c r="Q27" s="22">
        <v>1.22</v>
      </c>
      <c r="R27" s="23">
        <f>1.4*35</f>
        <v>49</v>
      </c>
      <c r="S27" s="17"/>
      <c r="T27" s="11" t="s">
        <v>15</v>
      </c>
      <c r="U27" s="22">
        <v>3.62</v>
      </c>
      <c r="V27" s="23">
        <f>5.7*35</f>
        <v>199.5</v>
      </c>
      <c r="W27" s="17"/>
    </row>
    <row r="28" spans="1:23" ht="23.1" customHeight="1">
      <c r="A28" s="101"/>
      <c r="B28" s="7" t="s">
        <v>3</v>
      </c>
      <c r="C28" s="13"/>
      <c r="D28" s="11" t="s">
        <v>15</v>
      </c>
      <c r="E28" s="22">
        <v>4.53</v>
      </c>
      <c r="F28" s="23">
        <f>10.4*35</f>
        <v>364</v>
      </c>
      <c r="G28" s="17"/>
      <c r="H28" s="11" t="s">
        <v>15</v>
      </c>
      <c r="I28" s="22">
        <v>2.78</v>
      </c>
      <c r="J28" s="23">
        <f>4.38*35</f>
        <v>153.29999999999998</v>
      </c>
      <c r="K28" s="17"/>
      <c r="L28" s="11" t="s">
        <v>15</v>
      </c>
      <c r="M28" s="22">
        <v>2.72</v>
      </c>
      <c r="N28" s="23">
        <f>3.88*35</f>
        <v>135.79999999999998</v>
      </c>
      <c r="O28" s="17"/>
      <c r="P28" s="11" t="s">
        <v>15</v>
      </c>
      <c r="Q28" s="22">
        <v>1.39</v>
      </c>
      <c r="R28" s="23">
        <f>1.74*35</f>
        <v>60.9</v>
      </c>
      <c r="S28" s="17"/>
      <c r="T28" s="11" t="s">
        <v>15</v>
      </c>
      <c r="U28" s="22">
        <v>4.34</v>
      </c>
      <c r="V28" s="23">
        <f>7.04*35</f>
        <v>246.4</v>
      </c>
      <c r="W28" s="17"/>
    </row>
    <row r="29" spans="1:23" ht="23.1" customHeight="1" thickBot="1">
      <c r="A29" s="42" t="s">
        <v>103</v>
      </c>
      <c r="B29" s="8" t="s">
        <v>4</v>
      </c>
      <c r="C29" s="13"/>
      <c r="D29" s="12" t="s">
        <v>15</v>
      </c>
      <c r="E29" s="46"/>
      <c r="F29" s="47"/>
      <c r="G29" s="17"/>
      <c r="H29" s="12" t="s">
        <v>15</v>
      </c>
      <c r="I29" s="24">
        <v>2.0299999999999998</v>
      </c>
      <c r="J29" s="25">
        <f>3.04*35</f>
        <v>106.4</v>
      </c>
      <c r="K29" s="17"/>
      <c r="L29" s="12" t="s">
        <v>15</v>
      </c>
      <c r="M29" s="24">
        <v>2.36</v>
      </c>
      <c r="N29" s="25">
        <f>3.12*35</f>
        <v>109.2</v>
      </c>
      <c r="O29" s="17"/>
      <c r="P29" s="12" t="s">
        <v>15</v>
      </c>
      <c r="Q29" s="24">
        <v>1.08</v>
      </c>
      <c r="R29" s="25">
        <f>1.21*35</f>
        <v>42.35</v>
      </c>
      <c r="S29" s="17"/>
      <c r="T29" s="12" t="s">
        <v>15</v>
      </c>
      <c r="U29" s="24">
        <v>2.54</v>
      </c>
      <c r="V29" s="25">
        <f>3.12*35</f>
        <v>109.2</v>
      </c>
      <c r="W29" s="17"/>
    </row>
    <row r="30" spans="1:23" s="3" customFormat="1" ht="5.0999999999999996" customHeight="1" thickBot="1">
      <c r="A30" s="14"/>
      <c r="B30" s="15"/>
      <c r="C30" s="13"/>
      <c r="D30" s="16"/>
      <c r="E30" s="26"/>
      <c r="F30" s="26"/>
      <c r="G30" s="13"/>
      <c r="H30" s="16"/>
      <c r="I30" s="26"/>
      <c r="J30" s="26"/>
      <c r="K30" s="13"/>
      <c r="L30" s="16"/>
      <c r="M30" s="26"/>
      <c r="N30" s="26"/>
      <c r="O30" s="13"/>
      <c r="P30" s="16"/>
      <c r="Q30" s="26"/>
      <c r="R30" s="26"/>
      <c r="S30" s="13"/>
      <c r="T30" s="16"/>
      <c r="U30" s="26"/>
      <c r="V30" s="26"/>
      <c r="W30" s="13"/>
    </row>
    <row r="31" spans="1:23" ht="23.1" customHeight="1">
      <c r="A31" s="117" t="s">
        <v>16</v>
      </c>
      <c r="B31" s="6" t="s">
        <v>1</v>
      </c>
      <c r="C31" s="13"/>
      <c r="D31" s="10" t="s">
        <v>15</v>
      </c>
      <c r="E31" s="20">
        <v>5.26</v>
      </c>
      <c r="F31" s="21">
        <f>11.8*35</f>
        <v>413</v>
      </c>
      <c r="G31" s="17"/>
      <c r="H31" s="10" t="s">
        <v>15</v>
      </c>
      <c r="I31" s="20">
        <v>4.4400000000000004</v>
      </c>
      <c r="J31" s="21">
        <f>8.12*35</f>
        <v>284.2</v>
      </c>
      <c r="K31" s="17"/>
      <c r="L31" s="10" t="s">
        <v>15</v>
      </c>
      <c r="M31" s="20">
        <v>5.42</v>
      </c>
      <c r="N31" s="21">
        <f>7.41*35</f>
        <v>259.35000000000002</v>
      </c>
      <c r="O31" s="17"/>
      <c r="P31" s="10" t="s">
        <v>15</v>
      </c>
      <c r="Q31" s="20">
        <v>5.07</v>
      </c>
      <c r="R31" s="21">
        <f>8.74*35</f>
        <v>305.90000000000003</v>
      </c>
      <c r="S31" s="17"/>
      <c r="T31" s="10" t="s">
        <v>15</v>
      </c>
      <c r="U31" s="20">
        <v>4.71</v>
      </c>
      <c r="V31" s="21">
        <f>6.52*35</f>
        <v>228.2</v>
      </c>
      <c r="W31" s="17"/>
    </row>
    <row r="32" spans="1:23" ht="23.1" customHeight="1">
      <c r="A32" s="118"/>
      <c r="B32" s="7" t="s">
        <v>2</v>
      </c>
      <c r="C32" s="13"/>
      <c r="D32" s="11" t="s">
        <v>15</v>
      </c>
      <c r="E32" s="22">
        <v>4.7699999999999996</v>
      </c>
      <c r="F32" s="23">
        <f>7.1*35</f>
        <v>248.5</v>
      </c>
      <c r="G32" s="17"/>
      <c r="H32" s="11" t="s">
        <v>15</v>
      </c>
      <c r="I32" s="22">
        <v>4.4800000000000004</v>
      </c>
      <c r="J32" s="23">
        <f>9.92*35</f>
        <v>347.2</v>
      </c>
      <c r="K32" s="17"/>
      <c r="L32" s="11" t="s">
        <v>15</v>
      </c>
      <c r="M32" s="22">
        <v>4.72</v>
      </c>
      <c r="N32" s="23">
        <f>8.2*35</f>
        <v>287</v>
      </c>
      <c r="O32" s="17"/>
      <c r="P32" s="11" t="s">
        <v>15</v>
      </c>
      <c r="Q32" s="22">
        <v>3.62</v>
      </c>
      <c r="R32" s="23">
        <f>5.78*35</f>
        <v>202.3</v>
      </c>
      <c r="S32" s="17"/>
      <c r="T32" s="11" t="s">
        <v>15</v>
      </c>
      <c r="U32" s="22">
        <v>4.7</v>
      </c>
      <c r="V32" s="23">
        <f>9.38*35</f>
        <v>328.3</v>
      </c>
      <c r="W32" s="17"/>
    </row>
    <row r="33" spans="1:23" ht="23.1" customHeight="1">
      <c r="A33" s="118"/>
      <c r="B33" s="7" t="s">
        <v>3</v>
      </c>
      <c r="C33" s="13"/>
      <c r="D33" s="11" t="s">
        <v>15</v>
      </c>
      <c r="E33" s="22">
        <v>3.81</v>
      </c>
      <c r="F33" s="23">
        <f>7.02*35</f>
        <v>245.7</v>
      </c>
      <c r="G33" s="17"/>
      <c r="H33" s="11" t="s">
        <v>15</v>
      </c>
      <c r="I33" s="22">
        <v>3.28</v>
      </c>
      <c r="J33" s="23">
        <f>6.4*35</f>
        <v>224</v>
      </c>
      <c r="K33" s="17"/>
      <c r="L33" s="11" t="s">
        <v>15</v>
      </c>
      <c r="M33" s="22">
        <v>3.08</v>
      </c>
      <c r="N33" s="23">
        <f>5.24*35</f>
        <v>183.4</v>
      </c>
      <c r="O33" s="17"/>
      <c r="P33" s="11" t="s">
        <v>15</v>
      </c>
      <c r="Q33" s="22">
        <v>2.62</v>
      </c>
      <c r="R33" s="23">
        <f>4.18*35</f>
        <v>146.29999999999998</v>
      </c>
      <c r="S33" s="17"/>
      <c r="T33" s="11" t="s">
        <v>15</v>
      </c>
      <c r="U33" s="22">
        <v>4.22</v>
      </c>
      <c r="V33" s="23">
        <f>8.2*35</f>
        <v>287</v>
      </c>
      <c r="W33" s="17"/>
    </row>
    <row r="34" spans="1:23" ht="23.1" customHeight="1" thickBot="1">
      <c r="A34" s="43" t="s">
        <v>17</v>
      </c>
      <c r="B34" s="8" t="s">
        <v>4</v>
      </c>
      <c r="C34" s="13"/>
      <c r="D34" s="12" t="s">
        <v>15</v>
      </c>
      <c r="E34" s="46"/>
      <c r="F34" s="47"/>
      <c r="G34" s="17"/>
      <c r="H34" s="12" t="s">
        <v>15</v>
      </c>
      <c r="I34" s="24">
        <v>2.48</v>
      </c>
      <c r="J34" s="25">
        <f>4.19*35</f>
        <v>146.65</v>
      </c>
      <c r="K34" s="17"/>
      <c r="L34" s="12" t="s">
        <v>15</v>
      </c>
      <c r="M34" s="24">
        <v>1.64</v>
      </c>
      <c r="N34" s="25">
        <f>2.58*35</f>
        <v>90.3</v>
      </c>
      <c r="O34" s="17"/>
      <c r="P34" s="12" t="s">
        <v>15</v>
      </c>
      <c r="Q34" s="24">
        <v>1.73</v>
      </c>
      <c r="R34" s="25">
        <f>1.98*35</f>
        <v>69.3</v>
      </c>
      <c r="S34" s="17"/>
      <c r="T34" s="12" t="s">
        <v>15</v>
      </c>
      <c r="U34" s="24">
        <v>2.93</v>
      </c>
      <c r="V34" s="25">
        <f>5.3*35</f>
        <v>185.5</v>
      </c>
      <c r="W34" s="17"/>
    </row>
    <row r="35" spans="1:23" ht="5.0999999999999996" customHeight="1">
      <c r="A35" s="17"/>
      <c r="B35" s="17"/>
      <c r="C35" s="13"/>
      <c r="D35" s="17"/>
      <c r="E35" s="33"/>
      <c r="F35" s="33"/>
      <c r="G35" s="17"/>
      <c r="H35" s="17"/>
      <c r="I35" s="33"/>
      <c r="J35" s="33"/>
      <c r="K35" s="17"/>
      <c r="L35" s="17"/>
      <c r="M35" s="33"/>
      <c r="N35" s="33"/>
      <c r="O35" s="17"/>
      <c r="P35" s="17"/>
      <c r="Q35" s="33"/>
      <c r="R35" s="33"/>
      <c r="S35" s="17"/>
      <c r="T35" s="17"/>
      <c r="U35" s="33"/>
      <c r="V35" s="33"/>
      <c r="W35" s="17"/>
    </row>
    <row r="36" spans="1:23" ht="15" thickBot="1"/>
    <row r="37" spans="1:23" ht="15">
      <c r="B37" s="9" t="s">
        <v>9</v>
      </c>
      <c r="D37" s="108">
        <v>40417</v>
      </c>
      <c r="E37" s="106"/>
      <c r="F37" s="107"/>
      <c r="H37" s="108">
        <v>40422</v>
      </c>
      <c r="I37" s="106"/>
      <c r="J37" s="107"/>
      <c r="L37" s="108">
        <v>40431</v>
      </c>
      <c r="M37" s="106"/>
      <c r="N37" s="107"/>
      <c r="P37" s="108">
        <v>40438</v>
      </c>
      <c r="Q37" s="106"/>
      <c r="R37" s="107"/>
      <c r="T37" s="108">
        <v>40456</v>
      </c>
      <c r="U37" s="106"/>
      <c r="V37" s="107"/>
    </row>
    <row r="38" spans="1:23" ht="45.75" thickBot="1">
      <c r="A38" s="2"/>
      <c r="B38" s="2"/>
      <c r="C38" s="4"/>
      <c r="D38" s="63" t="s">
        <v>6</v>
      </c>
      <c r="E38" s="61" t="s">
        <v>7</v>
      </c>
      <c r="F38" s="64" t="s">
        <v>8</v>
      </c>
      <c r="G38" s="2"/>
      <c r="H38" s="63" t="s">
        <v>6</v>
      </c>
      <c r="I38" s="61" t="s">
        <v>7</v>
      </c>
      <c r="J38" s="64" t="s">
        <v>8</v>
      </c>
      <c r="K38" s="2"/>
      <c r="L38" s="63" t="s">
        <v>6</v>
      </c>
      <c r="M38" s="61" t="s">
        <v>7</v>
      </c>
      <c r="N38" s="64" t="s">
        <v>8</v>
      </c>
      <c r="O38" s="2"/>
      <c r="P38" s="63" t="s">
        <v>6</v>
      </c>
      <c r="Q38" s="61" t="s">
        <v>7</v>
      </c>
      <c r="R38" s="64" t="s">
        <v>8</v>
      </c>
      <c r="S38" s="2"/>
      <c r="T38" s="63" t="s">
        <v>6</v>
      </c>
      <c r="U38" s="61" t="s">
        <v>7</v>
      </c>
      <c r="V38" s="64" t="s">
        <v>8</v>
      </c>
      <c r="W38" s="2"/>
    </row>
    <row r="39" spans="1:23" ht="4.5" customHeight="1" thickBot="1">
      <c r="A39" s="14"/>
      <c r="B39" s="15"/>
      <c r="C39" s="13"/>
      <c r="D39" s="16"/>
      <c r="E39" s="26"/>
      <c r="F39" s="26"/>
      <c r="G39" s="13"/>
      <c r="H39" s="16"/>
      <c r="I39" s="26"/>
      <c r="J39" s="26"/>
      <c r="K39" s="13"/>
      <c r="L39" s="16"/>
      <c r="M39" s="26"/>
      <c r="N39" s="26"/>
      <c r="O39" s="13"/>
      <c r="P39" s="16"/>
      <c r="Q39" s="26"/>
      <c r="R39" s="26"/>
      <c r="S39" s="13"/>
      <c r="T39" s="16"/>
      <c r="U39" s="26"/>
      <c r="V39" s="26"/>
      <c r="W39" s="13"/>
    </row>
    <row r="40" spans="1:23" ht="23.1" customHeight="1">
      <c r="A40" s="119" t="s">
        <v>16</v>
      </c>
      <c r="B40" s="6" t="s">
        <v>1</v>
      </c>
      <c r="C40" s="13"/>
      <c r="D40" s="10" t="s">
        <v>12</v>
      </c>
      <c r="E40" s="20">
        <v>5.81</v>
      </c>
      <c r="F40" s="21">
        <f>9.28*35</f>
        <v>324.79999999999995</v>
      </c>
      <c r="G40" s="17"/>
      <c r="H40" s="10" t="s">
        <v>12</v>
      </c>
      <c r="I40" s="20">
        <v>3.98</v>
      </c>
      <c r="J40" s="21">
        <f>6.74*35</f>
        <v>235.9</v>
      </c>
      <c r="K40" s="17"/>
      <c r="L40" s="10" t="s">
        <v>12</v>
      </c>
      <c r="M40" s="20">
        <v>2.92</v>
      </c>
      <c r="N40" s="21">
        <f>5.18*35</f>
        <v>181.29999999999998</v>
      </c>
      <c r="O40" s="17"/>
      <c r="P40" s="10" t="s">
        <v>12</v>
      </c>
      <c r="Q40" s="20">
        <v>3.52</v>
      </c>
      <c r="R40" s="21">
        <f>6.04*35</f>
        <v>211.4</v>
      </c>
      <c r="S40" s="17"/>
      <c r="T40" s="10" t="s">
        <v>12</v>
      </c>
      <c r="U40" s="44"/>
      <c r="V40" s="45"/>
      <c r="W40" s="17"/>
    </row>
    <row r="41" spans="1:23" ht="23.1" customHeight="1">
      <c r="A41" s="120"/>
      <c r="B41" s="7" t="s">
        <v>2</v>
      </c>
      <c r="C41" s="13"/>
      <c r="D41" s="11" t="s">
        <v>12</v>
      </c>
      <c r="E41" s="22">
        <v>2.2400000000000002</v>
      </c>
      <c r="F41" s="23">
        <f>2.37*35</f>
        <v>82.95</v>
      </c>
      <c r="G41" s="17"/>
      <c r="H41" s="11" t="s">
        <v>12</v>
      </c>
      <c r="I41" s="22">
        <v>4.09</v>
      </c>
      <c r="J41" s="23">
        <f>10.5*35</f>
        <v>367.5</v>
      </c>
      <c r="K41" s="17"/>
      <c r="L41" s="11" t="s">
        <v>12</v>
      </c>
      <c r="M41" s="22">
        <v>2.36</v>
      </c>
      <c r="N41" s="23">
        <f>2.59*35</f>
        <v>90.649999999999991</v>
      </c>
      <c r="O41" s="17"/>
      <c r="P41" s="11" t="s">
        <v>12</v>
      </c>
      <c r="Q41" s="22">
        <v>4.3099999999999996</v>
      </c>
      <c r="R41" s="23">
        <f>8.28*35</f>
        <v>289.79999999999995</v>
      </c>
      <c r="S41" s="17"/>
      <c r="T41" s="11" t="s">
        <v>12</v>
      </c>
      <c r="U41" s="34"/>
      <c r="V41" s="35"/>
      <c r="W41" s="17"/>
    </row>
    <row r="42" spans="1:23" ht="23.1" customHeight="1">
      <c r="A42" s="120"/>
      <c r="B42" s="7" t="s">
        <v>3</v>
      </c>
      <c r="C42" s="13"/>
      <c r="D42" s="11" t="s">
        <v>12</v>
      </c>
      <c r="E42" s="22">
        <v>3</v>
      </c>
      <c r="F42" s="23">
        <f>5.9*35</f>
        <v>206.5</v>
      </c>
      <c r="G42" s="17"/>
      <c r="H42" s="11" t="s">
        <v>12</v>
      </c>
      <c r="I42" s="22">
        <v>1.87</v>
      </c>
      <c r="J42" s="23">
        <f>2.78*35</f>
        <v>97.3</v>
      </c>
      <c r="K42" s="17"/>
      <c r="L42" s="11" t="s">
        <v>12</v>
      </c>
      <c r="M42" s="22">
        <v>1.33</v>
      </c>
      <c r="N42" s="23">
        <f>1.52*35</f>
        <v>53.2</v>
      </c>
      <c r="O42" s="17"/>
      <c r="P42" s="11" t="s">
        <v>12</v>
      </c>
      <c r="Q42" s="22">
        <v>3.28</v>
      </c>
      <c r="R42" s="23">
        <f>6.48*35</f>
        <v>226.8</v>
      </c>
      <c r="S42" s="17"/>
      <c r="T42" s="11" t="s">
        <v>12</v>
      </c>
      <c r="U42" s="34"/>
      <c r="V42" s="35"/>
      <c r="W42" s="17"/>
    </row>
    <row r="43" spans="1:23" ht="23.1" customHeight="1" thickBot="1">
      <c r="A43" s="74" t="s">
        <v>99</v>
      </c>
      <c r="B43" s="8" t="s">
        <v>4</v>
      </c>
      <c r="C43" s="13"/>
      <c r="D43" s="12" t="s">
        <v>12</v>
      </c>
      <c r="E43" s="24">
        <v>1.43</v>
      </c>
      <c r="F43" s="25">
        <f>1.93*35</f>
        <v>67.55</v>
      </c>
      <c r="G43" s="17"/>
      <c r="H43" s="12" t="s">
        <v>12</v>
      </c>
      <c r="I43" s="24">
        <v>1.57</v>
      </c>
      <c r="J43" s="25">
        <f>2.4*35</f>
        <v>84</v>
      </c>
      <c r="K43" s="17"/>
      <c r="L43" s="12" t="s">
        <v>12</v>
      </c>
      <c r="M43" s="24">
        <v>1.1499999999999999</v>
      </c>
      <c r="N43" s="25">
        <f>0.96*35</f>
        <v>33.6</v>
      </c>
      <c r="O43" s="17"/>
      <c r="P43" s="12" t="s">
        <v>12</v>
      </c>
      <c r="Q43" s="24">
        <v>2.17</v>
      </c>
      <c r="R43" s="25">
        <f>3.65*35</f>
        <v>127.75</v>
      </c>
      <c r="S43" s="17"/>
      <c r="T43" s="12" t="s">
        <v>12</v>
      </c>
      <c r="U43" s="46"/>
      <c r="V43" s="47"/>
      <c r="W43" s="17"/>
    </row>
    <row r="44" spans="1:23" ht="4.5" customHeight="1" thickBot="1">
      <c r="A44" s="14"/>
      <c r="B44" s="15"/>
      <c r="C44" s="13"/>
      <c r="D44" s="16"/>
      <c r="E44" s="26"/>
      <c r="F44" s="26"/>
      <c r="G44" s="13"/>
      <c r="H44" s="16"/>
      <c r="I44" s="26"/>
      <c r="J44" s="26"/>
      <c r="K44" s="13"/>
      <c r="L44" s="16"/>
      <c r="M44" s="26"/>
      <c r="N44" s="26"/>
      <c r="O44" s="13"/>
      <c r="P44" s="16"/>
      <c r="Q44" s="26"/>
      <c r="R44" s="26"/>
      <c r="S44" s="13"/>
      <c r="T44" s="16"/>
      <c r="U44" s="26"/>
      <c r="V44" s="26"/>
      <c r="W44" s="13"/>
    </row>
    <row r="45" spans="1:23" ht="23.1" customHeight="1">
      <c r="A45" s="119" t="s">
        <v>16</v>
      </c>
      <c r="B45" s="6" t="s">
        <v>1</v>
      </c>
      <c r="C45" s="13"/>
      <c r="D45" s="10" t="s">
        <v>12</v>
      </c>
      <c r="E45" s="20">
        <v>5.81</v>
      </c>
      <c r="F45" s="21">
        <f>9.28*35</f>
        <v>324.79999999999995</v>
      </c>
      <c r="G45" s="17"/>
      <c r="H45" s="10" t="s">
        <v>12</v>
      </c>
      <c r="I45" s="20">
        <v>3.98</v>
      </c>
      <c r="J45" s="21">
        <f>6.74*35</f>
        <v>235.9</v>
      </c>
      <c r="K45" s="17"/>
      <c r="L45" s="10" t="s">
        <v>12</v>
      </c>
      <c r="M45" s="20">
        <v>2.92</v>
      </c>
      <c r="N45" s="21">
        <f>5.18*35</f>
        <v>181.29999999999998</v>
      </c>
      <c r="O45" s="17"/>
      <c r="P45" s="10" t="s">
        <v>12</v>
      </c>
      <c r="Q45" s="20">
        <v>3.52</v>
      </c>
      <c r="R45" s="21">
        <f>6.04*35</f>
        <v>211.4</v>
      </c>
      <c r="S45" s="17"/>
      <c r="T45" s="10" t="s">
        <v>12</v>
      </c>
      <c r="U45" s="44"/>
      <c r="V45" s="45"/>
      <c r="W45" s="17"/>
    </row>
    <row r="46" spans="1:23" ht="23.1" customHeight="1">
      <c r="A46" s="120"/>
      <c r="B46" s="7" t="s">
        <v>2</v>
      </c>
      <c r="C46" s="13"/>
      <c r="D46" s="11" t="s">
        <v>12</v>
      </c>
      <c r="E46" s="22">
        <v>2.2400000000000002</v>
      </c>
      <c r="F46" s="23">
        <f>2.37*35</f>
        <v>82.95</v>
      </c>
      <c r="G46" s="17"/>
      <c r="H46" s="11" t="s">
        <v>12</v>
      </c>
      <c r="I46" s="22">
        <v>4.09</v>
      </c>
      <c r="J46" s="23">
        <f>10.5*35</f>
        <v>367.5</v>
      </c>
      <c r="K46" s="17"/>
      <c r="L46" s="11" t="s">
        <v>12</v>
      </c>
      <c r="M46" s="22">
        <v>2.36</v>
      </c>
      <c r="N46" s="23">
        <f>2.59*35</f>
        <v>90.649999999999991</v>
      </c>
      <c r="O46" s="17"/>
      <c r="P46" s="11" t="s">
        <v>12</v>
      </c>
      <c r="Q46" s="22">
        <v>4.3099999999999996</v>
      </c>
      <c r="R46" s="23">
        <f>8.28*35</f>
        <v>289.79999999999995</v>
      </c>
      <c r="S46" s="17"/>
      <c r="T46" s="11" t="s">
        <v>12</v>
      </c>
      <c r="U46" s="34"/>
      <c r="V46" s="35"/>
      <c r="W46" s="17"/>
    </row>
    <row r="47" spans="1:23" ht="23.1" customHeight="1">
      <c r="A47" s="120"/>
      <c r="B47" s="7" t="s">
        <v>3</v>
      </c>
      <c r="C47" s="13"/>
      <c r="D47" s="11" t="s">
        <v>12</v>
      </c>
      <c r="E47" s="22">
        <v>3</v>
      </c>
      <c r="F47" s="23">
        <f>5.9*35</f>
        <v>206.5</v>
      </c>
      <c r="G47" s="17"/>
      <c r="H47" s="11" t="s">
        <v>12</v>
      </c>
      <c r="I47" s="22">
        <v>1.87</v>
      </c>
      <c r="J47" s="23">
        <f>2.78*35</f>
        <v>97.3</v>
      </c>
      <c r="K47" s="17"/>
      <c r="L47" s="11" t="s">
        <v>12</v>
      </c>
      <c r="M47" s="22">
        <v>1.33</v>
      </c>
      <c r="N47" s="23">
        <f>1.52*35</f>
        <v>53.2</v>
      </c>
      <c r="O47" s="17"/>
      <c r="P47" s="11" t="s">
        <v>12</v>
      </c>
      <c r="Q47" s="22">
        <v>3.28</v>
      </c>
      <c r="R47" s="23">
        <f>6.48*35</f>
        <v>226.8</v>
      </c>
      <c r="S47" s="17"/>
      <c r="T47" s="11" t="s">
        <v>12</v>
      </c>
      <c r="U47" s="34"/>
      <c r="V47" s="35"/>
      <c r="W47" s="17"/>
    </row>
    <row r="48" spans="1:23" ht="23.1" customHeight="1" thickBot="1">
      <c r="A48" s="74" t="s">
        <v>100</v>
      </c>
      <c r="B48" s="8" t="s">
        <v>4</v>
      </c>
      <c r="C48" s="13"/>
      <c r="D48" s="12" t="s">
        <v>12</v>
      </c>
      <c r="E48" s="24">
        <v>1.43</v>
      </c>
      <c r="F48" s="25">
        <f>1.93*35</f>
        <v>67.55</v>
      </c>
      <c r="G48" s="17"/>
      <c r="H48" s="12" t="s">
        <v>12</v>
      </c>
      <c r="I48" s="24">
        <v>1.57</v>
      </c>
      <c r="J48" s="25">
        <f>2.4*35</f>
        <v>84</v>
      </c>
      <c r="K48" s="17"/>
      <c r="L48" s="12" t="s">
        <v>12</v>
      </c>
      <c r="M48" s="24">
        <v>1.1499999999999999</v>
      </c>
      <c r="N48" s="25">
        <f>0.96*35</f>
        <v>33.6</v>
      </c>
      <c r="O48" s="17"/>
      <c r="P48" s="12" t="s">
        <v>12</v>
      </c>
      <c r="Q48" s="24">
        <v>2.17</v>
      </c>
      <c r="R48" s="25">
        <f>3.65*35</f>
        <v>127.75</v>
      </c>
      <c r="S48" s="17"/>
      <c r="T48" s="12" t="s">
        <v>12</v>
      </c>
      <c r="U48" s="46"/>
      <c r="V48" s="47"/>
      <c r="W48" s="17"/>
    </row>
    <row r="49" spans="1:23" ht="4.5" customHeight="1" thickBot="1">
      <c r="A49" s="14"/>
      <c r="B49" s="15"/>
      <c r="C49" s="13"/>
      <c r="D49" s="16"/>
      <c r="E49" s="26"/>
      <c r="F49" s="26"/>
      <c r="G49" s="13"/>
      <c r="H49" s="16"/>
      <c r="I49" s="26"/>
      <c r="J49" s="26"/>
      <c r="K49" s="13"/>
      <c r="L49" s="16"/>
      <c r="M49" s="26"/>
      <c r="N49" s="26"/>
      <c r="O49" s="13"/>
      <c r="P49" s="16"/>
      <c r="Q49" s="26"/>
      <c r="R49" s="26"/>
      <c r="S49" s="13"/>
      <c r="T49" s="16"/>
      <c r="U49" s="26"/>
      <c r="V49" s="26"/>
      <c r="W49" s="13"/>
    </row>
    <row r="50" spans="1:23" ht="23.1" customHeight="1">
      <c r="A50" s="115" t="s">
        <v>16</v>
      </c>
      <c r="B50" s="6" t="s">
        <v>1</v>
      </c>
      <c r="C50" s="13"/>
      <c r="D50" s="10" t="s">
        <v>12</v>
      </c>
      <c r="E50" s="44"/>
      <c r="F50" s="45"/>
      <c r="G50" s="17"/>
      <c r="H50" s="10" t="s">
        <v>12</v>
      </c>
      <c r="I50" s="20">
        <v>4.71</v>
      </c>
      <c r="J50" s="21">
        <f>12.5*35</f>
        <v>437.5</v>
      </c>
      <c r="K50" s="17"/>
      <c r="L50" s="10" t="s">
        <v>12</v>
      </c>
      <c r="M50" s="20">
        <v>4.57</v>
      </c>
      <c r="N50" s="21">
        <f>7.85*35</f>
        <v>274.75</v>
      </c>
      <c r="O50" s="17"/>
      <c r="P50" s="10" t="s">
        <v>12</v>
      </c>
      <c r="Q50" s="20">
        <v>4.21</v>
      </c>
      <c r="R50" s="21">
        <f>8.38*35</f>
        <v>293.3</v>
      </c>
      <c r="S50" s="17"/>
      <c r="T50" s="10" t="s">
        <v>12</v>
      </c>
      <c r="U50" s="44"/>
      <c r="V50" s="45"/>
      <c r="W50" s="17"/>
    </row>
    <row r="51" spans="1:23" ht="23.1" customHeight="1">
      <c r="A51" s="116"/>
      <c r="B51" s="7" t="s">
        <v>2</v>
      </c>
      <c r="C51" s="13"/>
      <c r="D51" s="11" t="s">
        <v>12</v>
      </c>
      <c r="E51" s="34"/>
      <c r="F51" s="35"/>
      <c r="G51" s="17"/>
      <c r="H51" s="11" t="s">
        <v>12</v>
      </c>
      <c r="I51" s="22">
        <v>3.17</v>
      </c>
      <c r="J51" s="23">
        <f>6.88*35</f>
        <v>240.79999999999998</v>
      </c>
      <c r="K51" s="17"/>
      <c r="L51" s="11" t="s">
        <v>12</v>
      </c>
      <c r="M51" s="22">
        <v>3.77</v>
      </c>
      <c r="N51" s="23">
        <f>7.2*35</f>
        <v>252</v>
      </c>
      <c r="O51" s="17"/>
      <c r="P51" s="11" t="s">
        <v>12</v>
      </c>
      <c r="Q51" s="22">
        <v>4.16</v>
      </c>
      <c r="R51" s="23">
        <f>8.14*35</f>
        <v>284.90000000000003</v>
      </c>
      <c r="S51" s="17"/>
      <c r="T51" s="11" t="s">
        <v>12</v>
      </c>
      <c r="U51" s="34"/>
      <c r="V51" s="35"/>
      <c r="W51" s="17"/>
    </row>
    <row r="52" spans="1:23" ht="23.1" customHeight="1">
      <c r="A52" s="116"/>
      <c r="B52" s="7" t="s">
        <v>3</v>
      </c>
      <c r="C52" s="13"/>
      <c r="D52" s="11" t="s">
        <v>12</v>
      </c>
      <c r="E52" s="34"/>
      <c r="F52" s="35"/>
      <c r="G52" s="17"/>
      <c r="H52" s="11" t="s">
        <v>12</v>
      </c>
      <c r="I52" s="22">
        <v>2.13</v>
      </c>
      <c r="J52" s="23">
        <f>3.31*35</f>
        <v>115.85000000000001</v>
      </c>
      <c r="K52" s="17"/>
      <c r="L52" s="11" t="s">
        <v>12</v>
      </c>
      <c r="M52" s="22">
        <v>2.86</v>
      </c>
      <c r="N52" s="23">
        <f>5.43*35</f>
        <v>190.04999999999998</v>
      </c>
      <c r="O52" s="17"/>
      <c r="P52" s="11" t="s">
        <v>12</v>
      </c>
      <c r="Q52" s="22">
        <v>3.44</v>
      </c>
      <c r="R52" s="23">
        <f>5.79*35</f>
        <v>202.65</v>
      </c>
      <c r="S52" s="17"/>
      <c r="T52" s="11" t="s">
        <v>12</v>
      </c>
      <c r="U52" s="34"/>
      <c r="V52" s="35"/>
      <c r="W52" s="17"/>
    </row>
    <row r="53" spans="1:23" ht="23.1" customHeight="1" thickBot="1">
      <c r="A53" s="75" t="s">
        <v>101</v>
      </c>
      <c r="B53" s="8" t="s">
        <v>4</v>
      </c>
      <c r="C53" s="13"/>
      <c r="D53" s="12" t="s">
        <v>12</v>
      </c>
      <c r="E53" s="46"/>
      <c r="F53" s="47"/>
      <c r="G53" s="17"/>
      <c r="H53" s="12" t="s">
        <v>12</v>
      </c>
      <c r="I53" s="24">
        <v>1.74</v>
      </c>
      <c r="J53" s="25">
        <f>2.17*35</f>
        <v>75.95</v>
      </c>
      <c r="K53" s="17"/>
      <c r="L53" s="12" t="s">
        <v>12</v>
      </c>
      <c r="M53" s="24">
        <v>2.17</v>
      </c>
      <c r="N53" s="25">
        <f>2.45*35</f>
        <v>85.75</v>
      </c>
      <c r="O53" s="17"/>
      <c r="P53" s="12" t="s">
        <v>12</v>
      </c>
      <c r="Q53" s="24">
        <v>2.27</v>
      </c>
      <c r="R53" s="25">
        <f>3.39*35</f>
        <v>118.65</v>
      </c>
      <c r="S53" s="17"/>
      <c r="T53" s="12" t="s">
        <v>12</v>
      </c>
      <c r="U53" s="46"/>
      <c r="V53" s="47"/>
      <c r="W53" s="17"/>
    </row>
    <row r="54" spans="1:23" ht="4.5" customHeight="1" thickBot="1">
      <c r="A54" s="17"/>
      <c r="B54" s="17"/>
      <c r="C54" s="13"/>
      <c r="D54" s="17"/>
      <c r="E54" s="33"/>
      <c r="F54" s="33"/>
      <c r="G54" s="17"/>
      <c r="H54" s="17"/>
      <c r="I54" s="33"/>
      <c r="J54" s="33"/>
      <c r="K54" s="17"/>
      <c r="L54" s="17"/>
      <c r="M54" s="33"/>
      <c r="N54" s="33"/>
      <c r="O54" s="17"/>
      <c r="P54" s="17"/>
      <c r="Q54" s="33"/>
      <c r="R54" s="33"/>
      <c r="S54" s="17"/>
      <c r="T54" s="17"/>
      <c r="U54" s="33"/>
      <c r="V54" s="33"/>
      <c r="W54" s="17"/>
    </row>
    <row r="55" spans="1:23" ht="23.1" customHeight="1">
      <c r="A55" s="115" t="s">
        <v>16</v>
      </c>
      <c r="B55" s="6" t="s">
        <v>1</v>
      </c>
      <c r="C55" s="13"/>
      <c r="D55" s="10" t="s">
        <v>12</v>
      </c>
      <c r="E55" s="44"/>
      <c r="F55" s="45"/>
      <c r="G55" s="17"/>
      <c r="H55" s="10" t="s">
        <v>12</v>
      </c>
      <c r="I55" s="20">
        <v>4.71</v>
      </c>
      <c r="J55" s="21">
        <f>12.5*35</f>
        <v>437.5</v>
      </c>
      <c r="K55" s="17"/>
      <c r="L55" s="10" t="s">
        <v>12</v>
      </c>
      <c r="M55" s="20">
        <v>4.57</v>
      </c>
      <c r="N55" s="21">
        <f>7.85*35</f>
        <v>274.75</v>
      </c>
      <c r="O55" s="17"/>
      <c r="P55" s="10" t="s">
        <v>12</v>
      </c>
      <c r="Q55" s="20">
        <v>4.21</v>
      </c>
      <c r="R55" s="21">
        <f>8.38*35</f>
        <v>293.3</v>
      </c>
      <c r="S55" s="17"/>
      <c r="T55" s="10" t="s">
        <v>12</v>
      </c>
      <c r="U55" s="44"/>
      <c r="V55" s="45"/>
      <c r="W55" s="17"/>
    </row>
    <row r="56" spans="1:23" ht="23.1" customHeight="1">
      <c r="A56" s="116"/>
      <c r="B56" s="7" t="s">
        <v>2</v>
      </c>
      <c r="C56" s="13"/>
      <c r="D56" s="11" t="s">
        <v>12</v>
      </c>
      <c r="E56" s="34"/>
      <c r="F56" s="35"/>
      <c r="G56" s="17"/>
      <c r="H56" s="11" t="s">
        <v>12</v>
      </c>
      <c r="I56" s="22">
        <v>3.17</v>
      </c>
      <c r="J56" s="23">
        <f>6.88*35</f>
        <v>240.79999999999998</v>
      </c>
      <c r="K56" s="17"/>
      <c r="L56" s="11" t="s">
        <v>12</v>
      </c>
      <c r="M56" s="22">
        <v>3.77</v>
      </c>
      <c r="N56" s="23">
        <f>7.2*35</f>
        <v>252</v>
      </c>
      <c r="O56" s="17"/>
      <c r="P56" s="11" t="s">
        <v>12</v>
      </c>
      <c r="Q56" s="22">
        <v>4.16</v>
      </c>
      <c r="R56" s="23">
        <f>8.14*35</f>
        <v>284.90000000000003</v>
      </c>
      <c r="S56" s="17"/>
      <c r="T56" s="11" t="s">
        <v>12</v>
      </c>
      <c r="U56" s="34"/>
      <c r="V56" s="35"/>
      <c r="W56" s="17"/>
    </row>
    <row r="57" spans="1:23" ht="23.1" customHeight="1">
      <c r="A57" s="116"/>
      <c r="B57" s="7" t="s">
        <v>3</v>
      </c>
      <c r="C57" s="13"/>
      <c r="D57" s="11" t="s">
        <v>12</v>
      </c>
      <c r="E57" s="34"/>
      <c r="F57" s="35"/>
      <c r="G57" s="17"/>
      <c r="H57" s="11" t="s">
        <v>12</v>
      </c>
      <c r="I57" s="22">
        <v>2.13</v>
      </c>
      <c r="J57" s="23">
        <f>3.31*35</f>
        <v>115.85000000000001</v>
      </c>
      <c r="K57" s="17"/>
      <c r="L57" s="11" t="s">
        <v>12</v>
      </c>
      <c r="M57" s="22">
        <v>2.86</v>
      </c>
      <c r="N57" s="23">
        <f>5.43*35</f>
        <v>190.04999999999998</v>
      </c>
      <c r="O57" s="17"/>
      <c r="P57" s="11" t="s">
        <v>12</v>
      </c>
      <c r="Q57" s="22">
        <v>3.44</v>
      </c>
      <c r="R57" s="23">
        <f>5.79*35</f>
        <v>202.65</v>
      </c>
      <c r="S57" s="17"/>
      <c r="T57" s="11" t="s">
        <v>12</v>
      </c>
      <c r="U57" s="34"/>
      <c r="V57" s="35"/>
      <c r="W57" s="17"/>
    </row>
    <row r="58" spans="1:23" ht="23.1" customHeight="1" thickBot="1">
      <c r="A58" s="75" t="s">
        <v>102</v>
      </c>
      <c r="B58" s="8" t="s">
        <v>4</v>
      </c>
      <c r="C58" s="13"/>
      <c r="D58" s="12" t="s">
        <v>12</v>
      </c>
      <c r="E58" s="46"/>
      <c r="F58" s="47"/>
      <c r="G58" s="17"/>
      <c r="H58" s="12" t="s">
        <v>12</v>
      </c>
      <c r="I58" s="24">
        <v>1.74</v>
      </c>
      <c r="J58" s="25">
        <f>2.17*35</f>
        <v>75.95</v>
      </c>
      <c r="K58" s="17"/>
      <c r="L58" s="12" t="s">
        <v>12</v>
      </c>
      <c r="M58" s="24">
        <v>2.17</v>
      </c>
      <c r="N58" s="25">
        <f>2.45*35</f>
        <v>85.75</v>
      </c>
      <c r="O58" s="17"/>
      <c r="P58" s="12" t="s">
        <v>12</v>
      </c>
      <c r="Q58" s="24">
        <v>2.27</v>
      </c>
      <c r="R58" s="25">
        <f>3.39*35</f>
        <v>118.65</v>
      </c>
      <c r="S58" s="17"/>
      <c r="T58" s="12" t="s">
        <v>12</v>
      </c>
      <c r="U58" s="46"/>
      <c r="V58" s="47"/>
      <c r="W58" s="17"/>
    </row>
    <row r="59" spans="1:23" ht="4.5" customHeight="1" thickBot="1">
      <c r="A59" s="17"/>
      <c r="B59" s="17"/>
      <c r="C59" s="13"/>
      <c r="D59" s="17"/>
      <c r="E59" s="33"/>
      <c r="F59" s="33"/>
      <c r="G59" s="17"/>
      <c r="H59" s="17"/>
      <c r="I59" s="33"/>
      <c r="J59" s="33"/>
      <c r="K59" s="17"/>
      <c r="L59" s="17"/>
      <c r="M59" s="33"/>
      <c r="N59" s="33"/>
      <c r="O59" s="17"/>
      <c r="P59" s="17"/>
      <c r="Q59" s="33"/>
      <c r="R59" s="33"/>
      <c r="S59" s="17"/>
      <c r="T59" s="17"/>
      <c r="U59" s="33"/>
      <c r="V59" s="33"/>
      <c r="W59" s="17"/>
    </row>
    <row r="60" spans="1:23" ht="23.1" customHeight="1">
      <c r="A60" s="100" t="s">
        <v>16</v>
      </c>
      <c r="B60" s="6" t="s">
        <v>1</v>
      </c>
      <c r="C60" s="13"/>
      <c r="D60" s="10" t="s">
        <v>15</v>
      </c>
      <c r="E60" s="44"/>
      <c r="F60" s="45"/>
      <c r="G60" s="17"/>
      <c r="H60" s="10" t="s">
        <v>15</v>
      </c>
      <c r="I60" s="20">
        <v>8.32</v>
      </c>
      <c r="J60" s="21">
        <f>42.5*35</f>
        <v>1487.5</v>
      </c>
      <c r="K60" s="17"/>
      <c r="L60" s="10" t="s">
        <v>15</v>
      </c>
      <c r="M60" s="20">
        <v>3.5</v>
      </c>
      <c r="N60" s="21">
        <f>6.94*35</f>
        <v>242.9</v>
      </c>
      <c r="O60" s="17"/>
      <c r="P60" s="10" t="s">
        <v>15</v>
      </c>
      <c r="Q60" s="20">
        <v>3.67</v>
      </c>
      <c r="R60" s="21">
        <f>7.88*35</f>
        <v>275.8</v>
      </c>
      <c r="S60" s="17"/>
      <c r="T60" s="10" t="s">
        <v>15</v>
      </c>
      <c r="U60" s="20">
        <v>2.4900000000000002</v>
      </c>
      <c r="V60" s="21">
        <f>2.32*35</f>
        <v>81.199999999999989</v>
      </c>
      <c r="W60" s="17"/>
    </row>
    <row r="61" spans="1:23" ht="23.1" customHeight="1">
      <c r="A61" s="101"/>
      <c r="B61" s="7" t="s">
        <v>2</v>
      </c>
      <c r="C61" s="13"/>
      <c r="D61" s="11" t="s">
        <v>15</v>
      </c>
      <c r="E61" s="34"/>
      <c r="F61" s="35"/>
      <c r="G61" s="17"/>
      <c r="H61" s="11" t="s">
        <v>15</v>
      </c>
      <c r="I61" s="48">
        <v>4.13</v>
      </c>
      <c r="J61" s="49">
        <f>10.4*35</f>
        <v>364</v>
      </c>
      <c r="K61" s="17"/>
      <c r="L61" s="11" t="s">
        <v>15</v>
      </c>
      <c r="M61" s="22">
        <v>3.56</v>
      </c>
      <c r="N61" s="23">
        <f>6.22*35</f>
        <v>217.7</v>
      </c>
      <c r="O61" s="17"/>
      <c r="P61" s="11" t="s">
        <v>15</v>
      </c>
      <c r="Q61" s="22">
        <v>3.72</v>
      </c>
      <c r="R61" s="23">
        <f>7.32*35</f>
        <v>256.2</v>
      </c>
      <c r="S61" s="17"/>
      <c r="T61" s="11" t="s">
        <v>15</v>
      </c>
      <c r="U61" s="22">
        <v>2.19</v>
      </c>
      <c r="V61" s="23">
        <f>2.23*35</f>
        <v>78.05</v>
      </c>
      <c r="W61" s="17"/>
    </row>
    <row r="62" spans="1:23" ht="23.1" customHeight="1">
      <c r="A62" s="101"/>
      <c r="B62" s="7" t="s">
        <v>3</v>
      </c>
      <c r="C62" s="13"/>
      <c r="D62" s="11" t="s">
        <v>15</v>
      </c>
      <c r="E62" s="34"/>
      <c r="F62" s="35"/>
      <c r="G62" s="17"/>
      <c r="H62" s="11" t="s">
        <v>15</v>
      </c>
      <c r="I62" s="22">
        <v>3.74</v>
      </c>
      <c r="J62" s="23">
        <f>7.24*35</f>
        <v>253.4</v>
      </c>
      <c r="K62" s="17"/>
      <c r="L62" s="11" t="s">
        <v>15</v>
      </c>
      <c r="M62" s="22">
        <v>1.38</v>
      </c>
      <c r="N62" s="23">
        <f>1.61*35</f>
        <v>56.35</v>
      </c>
      <c r="O62" s="17"/>
      <c r="P62" s="11" t="s">
        <v>15</v>
      </c>
      <c r="Q62" s="22">
        <v>2.5099999999999998</v>
      </c>
      <c r="R62" s="23">
        <f>3.21*35</f>
        <v>112.35</v>
      </c>
      <c r="S62" s="17"/>
      <c r="T62" s="11" t="s">
        <v>15</v>
      </c>
      <c r="U62" s="22">
        <v>2.5499999999999998</v>
      </c>
      <c r="V62" s="23">
        <f>2.52*35</f>
        <v>88.2</v>
      </c>
      <c r="W62" s="17"/>
    </row>
    <row r="63" spans="1:23" ht="23.1" customHeight="1" thickBot="1">
      <c r="A63" s="42" t="s">
        <v>103</v>
      </c>
      <c r="B63" s="8" t="s">
        <v>4</v>
      </c>
      <c r="C63" s="13"/>
      <c r="D63" s="12" t="s">
        <v>15</v>
      </c>
      <c r="E63" s="46"/>
      <c r="F63" s="47"/>
      <c r="G63" s="17"/>
      <c r="H63" s="12" t="s">
        <v>15</v>
      </c>
      <c r="I63" s="24">
        <v>2.4500000000000002</v>
      </c>
      <c r="J63" s="25">
        <f>3.29*35</f>
        <v>115.15</v>
      </c>
      <c r="K63" s="17"/>
      <c r="L63" s="12" t="s">
        <v>15</v>
      </c>
      <c r="M63" s="24">
        <v>1.46</v>
      </c>
      <c r="N63" s="25">
        <f>1.83*35</f>
        <v>64.05</v>
      </c>
      <c r="O63" s="17"/>
      <c r="P63" s="12" t="s">
        <v>15</v>
      </c>
      <c r="Q63" s="24">
        <v>1.8</v>
      </c>
      <c r="R63" s="25">
        <f>2.4*35</f>
        <v>84</v>
      </c>
      <c r="S63" s="17"/>
      <c r="T63" s="12" t="s">
        <v>15</v>
      </c>
      <c r="U63" s="24">
        <v>2.46</v>
      </c>
      <c r="V63" s="25">
        <f>3.77*35</f>
        <v>131.94999999999999</v>
      </c>
      <c r="W63" s="17"/>
    </row>
    <row r="64" spans="1:23" ht="4.5" customHeight="1" thickBot="1">
      <c r="A64" s="14"/>
      <c r="B64" s="15"/>
      <c r="C64" s="13"/>
      <c r="D64" s="16"/>
      <c r="E64" s="26"/>
      <c r="F64" s="26"/>
      <c r="G64" s="13"/>
      <c r="H64" s="16"/>
      <c r="I64" s="26"/>
      <c r="J64" s="26"/>
      <c r="K64" s="13"/>
      <c r="L64" s="16"/>
      <c r="M64" s="26"/>
      <c r="N64" s="26"/>
      <c r="O64" s="13"/>
      <c r="P64" s="16"/>
      <c r="Q64" s="26"/>
      <c r="R64" s="26"/>
      <c r="S64" s="13"/>
      <c r="T64" s="16"/>
      <c r="U64" s="26"/>
      <c r="V64" s="26"/>
      <c r="W64" s="13"/>
    </row>
    <row r="65" spans="1:23" ht="23.1" customHeight="1">
      <c r="A65" s="117" t="s">
        <v>16</v>
      </c>
      <c r="B65" s="6" t="s">
        <v>1</v>
      </c>
      <c r="C65" s="13"/>
      <c r="D65" s="10" t="s">
        <v>15</v>
      </c>
      <c r="E65" s="44"/>
      <c r="F65" s="45"/>
      <c r="G65" s="17"/>
      <c r="H65" s="10" t="s">
        <v>15</v>
      </c>
      <c r="I65" s="20">
        <v>7.07</v>
      </c>
      <c r="J65" s="21">
        <f>36.4*35</f>
        <v>1274</v>
      </c>
      <c r="K65" s="17"/>
      <c r="L65" s="10" t="s">
        <v>15</v>
      </c>
      <c r="M65" s="20">
        <v>3.88</v>
      </c>
      <c r="N65" s="21">
        <f>7.76*35</f>
        <v>271.59999999999997</v>
      </c>
      <c r="O65" s="17"/>
      <c r="P65" s="10" t="s">
        <v>15</v>
      </c>
      <c r="Q65" s="20">
        <v>4.3499999999999996</v>
      </c>
      <c r="R65" s="21">
        <f>8.38*35</f>
        <v>293.3</v>
      </c>
      <c r="S65" s="17"/>
      <c r="T65" s="10" t="s">
        <v>15</v>
      </c>
      <c r="U65" s="44"/>
      <c r="V65" s="45"/>
      <c r="W65" s="17"/>
    </row>
    <row r="66" spans="1:23" ht="23.1" customHeight="1">
      <c r="A66" s="118"/>
      <c r="B66" s="7" t="s">
        <v>2</v>
      </c>
      <c r="C66" s="13"/>
      <c r="D66" s="11" t="s">
        <v>15</v>
      </c>
      <c r="E66" s="34"/>
      <c r="F66" s="35"/>
      <c r="G66" s="17"/>
      <c r="H66" s="11" t="s">
        <v>15</v>
      </c>
      <c r="I66" s="22">
        <v>3.53</v>
      </c>
      <c r="J66" s="23">
        <f>13.3*35</f>
        <v>465.5</v>
      </c>
      <c r="K66" s="17"/>
      <c r="L66" s="11" t="s">
        <v>15</v>
      </c>
      <c r="M66" s="22">
        <v>1.74</v>
      </c>
      <c r="N66" s="23">
        <f>2.39*35</f>
        <v>83.65</v>
      </c>
      <c r="O66" s="17"/>
      <c r="P66" s="11" t="s">
        <v>15</v>
      </c>
      <c r="Q66" s="22">
        <v>4.0999999999999996</v>
      </c>
      <c r="R66" s="23">
        <f>7.64*35</f>
        <v>267.39999999999998</v>
      </c>
      <c r="S66" s="17"/>
      <c r="T66" s="11" t="s">
        <v>15</v>
      </c>
      <c r="U66" s="34"/>
      <c r="V66" s="35"/>
      <c r="W66" s="17"/>
    </row>
    <row r="67" spans="1:23" ht="23.1" customHeight="1">
      <c r="A67" s="118"/>
      <c r="B67" s="7" t="s">
        <v>3</v>
      </c>
      <c r="C67" s="13"/>
      <c r="D67" s="11" t="s">
        <v>15</v>
      </c>
      <c r="E67" s="34"/>
      <c r="F67" s="35"/>
      <c r="G67" s="17"/>
      <c r="H67" s="11" t="s">
        <v>15</v>
      </c>
      <c r="I67" s="22">
        <v>3.81</v>
      </c>
      <c r="J67" s="23">
        <f>8.78*35</f>
        <v>307.29999999999995</v>
      </c>
      <c r="K67" s="17"/>
      <c r="L67" s="11" t="s">
        <v>15</v>
      </c>
      <c r="M67" s="22">
        <v>1.84</v>
      </c>
      <c r="N67" s="23">
        <f>2.26*35</f>
        <v>79.099999999999994</v>
      </c>
      <c r="O67" s="17"/>
      <c r="P67" s="11" t="s">
        <v>15</v>
      </c>
      <c r="Q67" s="22">
        <v>3.48</v>
      </c>
      <c r="R67" s="23">
        <f>6.14*35</f>
        <v>214.89999999999998</v>
      </c>
      <c r="S67" s="17"/>
      <c r="T67" s="11" t="s">
        <v>15</v>
      </c>
      <c r="U67" s="34"/>
      <c r="V67" s="35"/>
      <c r="W67" s="17"/>
    </row>
    <row r="68" spans="1:23" ht="23.1" customHeight="1" thickBot="1">
      <c r="A68" s="43" t="s">
        <v>17</v>
      </c>
      <c r="B68" s="8" t="s">
        <v>4</v>
      </c>
      <c r="C68" s="13"/>
      <c r="D68" s="12" t="s">
        <v>15</v>
      </c>
      <c r="E68" s="46"/>
      <c r="F68" s="47"/>
      <c r="G68" s="17"/>
      <c r="H68" s="12" t="s">
        <v>15</v>
      </c>
      <c r="I68" s="24">
        <v>1.93</v>
      </c>
      <c r="J68" s="25">
        <f>3.85*35</f>
        <v>134.75</v>
      </c>
      <c r="K68" s="17"/>
      <c r="L68" s="12" t="s">
        <v>15</v>
      </c>
      <c r="M68" s="24">
        <v>2.34</v>
      </c>
      <c r="N68" s="25">
        <f>3.11*35</f>
        <v>108.85</v>
      </c>
      <c r="O68" s="17"/>
      <c r="P68" s="12" t="s">
        <v>15</v>
      </c>
      <c r="Q68" s="24">
        <v>2.08</v>
      </c>
      <c r="R68" s="25">
        <f>2.89*35</f>
        <v>101.15</v>
      </c>
      <c r="S68" s="17"/>
      <c r="T68" s="12" t="s">
        <v>15</v>
      </c>
      <c r="U68" s="46"/>
      <c r="V68" s="47"/>
      <c r="W68" s="17"/>
    </row>
    <row r="69" spans="1:23" ht="4.5" customHeight="1">
      <c r="A69" s="17"/>
      <c r="B69" s="17"/>
      <c r="C69" s="13"/>
      <c r="D69" s="17"/>
      <c r="E69" s="33"/>
      <c r="F69" s="33"/>
      <c r="G69" s="17"/>
      <c r="H69" s="17"/>
      <c r="I69" s="33"/>
      <c r="J69" s="33"/>
      <c r="K69" s="17"/>
      <c r="L69" s="17"/>
      <c r="M69" s="33"/>
      <c r="N69" s="33"/>
      <c r="O69" s="17"/>
      <c r="P69" s="17"/>
      <c r="Q69" s="33"/>
      <c r="R69" s="33"/>
      <c r="S69" s="17"/>
      <c r="T69" s="17"/>
      <c r="U69" s="33"/>
      <c r="V69" s="33"/>
      <c r="W69" s="17"/>
    </row>
    <row r="70" spans="1:23" ht="15" thickBot="1"/>
    <row r="71" spans="1:23" ht="15">
      <c r="B71" s="9" t="s">
        <v>9</v>
      </c>
      <c r="D71" s="108">
        <v>40549</v>
      </c>
      <c r="E71" s="106"/>
      <c r="F71" s="107"/>
      <c r="H71" s="108">
        <v>40566</v>
      </c>
      <c r="I71" s="106"/>
      <c r="J71" s="107"/>
      <c r="L71" s="108">
        <v>40586</v>
      </c>
      <c r="M71" s="106"/>
      <c r="N71" s="107"/>
      <c r="P71" s="108">
        <v>40632</v>
      </c>
      <c r="Q71" s="106"/>
      <c r="R71" s="107"/>
      <c r="T71" s="108">
        <v>40274</v>
      </c>
      <c r="U71" s="106"/>
      <c r="V71" s="107"/>
    </row>
    <row r="72" spans="1:23" ht="45.75" thickBot="1">
      <c r="A72" s="2"/>
      <c r="B72" s="2"/>
      <c r="C72" s="4"/>
      <c r="D72" s="63" t="s">
        <v>6</v>
      </c>
      <c r="E72" s="61" t="s">
        <v>7</v>
      </c>
      <c r="F72" s="64" t="s">
        <v>8</v>
      </c>
      <c r="G72" s="2"/>
      <c r="H72" s="63" t="s">
        <v>6</v>
      </c>
      <c r="I72" s="61" t="s">
        <v>7</v>
      </c>
      <c r="J72" s="64" t="s">
        <v>8</v>
      </c>
      <c r="K72" s="2"/>
      <c r="L72" s="63" t="s">
        <v>6</v>
      </c>
      <c r="M72" s="61" t="s">
        <v>7</v>
      </c>
      <c r="N72" s="64" t="s">
        <v>8</v>
      </c>
      <c r="O72" s="2"/>
      <c r="P72" s="63" t="s">
        <v>6</v>
      </c>
      <c r="Q72" s="61" t="s">
        <v>7</v>
      </c>
      <c r="R72" s="64" t="s">
        <v>8</v>
      </c>
      <c r="S72" s="2"/>
      <c r="T72" s="63" t="s">
        <v>6</v>
      </c>
      <c r="U72" s="61" t="s">
        <v>7</v>
      </c>
      <c r="V72" s="64" t="s">
        <v>8</v>
      </c>
      <c r="W72" s="2"/>
    </row>
    <row r="73" spans="1:23" ht="4.7" customHeight="1" thickBot="1">
      <c r="A73" s="14"/>
      <c r="B73" s="15"/>
      <c r="C73" s="13"/>
      <c r="D73" s="16"/>
      <c r="E73" s="26"/>
      <c r="F73" s="26"/>
      <c r="G73" s="13"/>
      <c r="H73" s="16"/>
      <c r="I73" s="26"/>
      <c r="J73" s="26"/>
      <c r="K73" s="13"/>
      <c r="L73" s="16"/>
      <c r="M73" s="26"/>
      <c r="N73" s="26"/>
      <c r="O73" s="13"/>
      <c r="P73" s="16"/>
      <c r="Q73" s="26"/>
      <c r="R73" s="26"/>
      <c r="S73" s="13"/>
      <c r="T73" s="16"/>
      <c r="U73" s="26"/>
      <c r="V73" s="26"/>
      <c r="W73" s="13"/>
    </row>
    <row r="74" spans="1:23" ht="23.1" customHeight="1">
      <c r="A74" s="119" t="s">
        <v>16</v>
      </c>
      <c r="B74" s="6" t="s">
        <v>1</v>
      </c>
      <c r="C74" s="13"/>
      <c r="D74" s="10" t="s">
        <v>12</v>
      </c>
      <c r="E74" s="20">
        <v>9.66</v>
      </c>
      <c r="F74" s="21">
        <f>22.1*35</f>
        <v>773.5</v>
      </c>
      <c r="G74" s="17"/>
      <c r="H74" s="10" t="s">
        <v>12</v>
      </c>
      <c r="I74" s="20">
        <v>6.11</v>
      </c>
      <c r="J74" s="21">
        <f>11.8*35</f>
        <v>413</v>
      </c>
      <c r="K74" s="17"/>
      <c r="L74" s="10" t="s">
        <v>12</v>
      </c>
      <c r="M74" s="20">
        <v>4.8600000000000003</v>
      </c>
      <c r="N74" s="21">
        <f>4.75*35</f>
        <v>166.25</v>
      </c>
      <c r="O74" s="17"/>
      <c r="P74" s="10" t="s">
        <v>12</v>
      </c>
      <c r="Q74" s="20">
        <v>5.1100000000000003</v>
      </c>
      <c r="R74" s="21">
        <f>1.12*35</f>
        <v>39.200000000000003</v>
      </c>
      <c r="S74" s="17"/>
      <c r="T74" s="10" t="s">
        <v>12</v>
      </c>
      <c r="U74" s="44"/>
      <c r="V74" s="45"/>
      <c r="W74" s="17"/>
    </row>
    <row r="75" spans="1:23" ht="23.1" customHeight="1">
      <c r="A75" s="120"/>
      <c r="B75" s="7" t="s">
        <v>2</v>
      </c>
      <c r="C75" s="13"/>
      <c r="D75" s="11" t="s">
        <v>12</v>
      </c>
      <c r="E75" s="22">
        <v>2.9</v>
      </c>
      <c r="F75" s="23">
        <f>2.8*35</f>
        <v>98</v>
      </c>
      <c r="G75" s="17"/>
      <c r="H75" s="11" t="s">
        <v>12</v>
      </c>
      <c r="I75" s="22">
        <v>4.4800000000000004</v>
      </c>
      <c r="J75" s="23">
        <f>7.22*35</f>
        <v>252.7</v>
      </c>
      <c r="K75" s="17"/>
      <c r="L75" s="11" t="s">
        <v>12</v>
      </c>
      <c r="M75" s="22">
        <v>6.35</v>
      </c>
      <c r="N75" s="23">
        <f>0.14*35</f>
        <v>4.9000000000000004</v>
      </c>
      <c r="O75" s="17"/>
      <c r="P75" s="11" t="s">
        <v>12</v>
      </c>
      <c r="Q75" s="22">
        <v>0.72</v>
      </c>
      <c r="R75" s="23">
        <f>0.49*35</f>
        <v>17.149999999999999</v>
      </c>
      <c r="S75" s="17"/>
      <c r="T75" s="11" t="s">
        <v>12</v>
      </c>
      <c r="U75" s="34"/>
      <c r="V75" s="35"/>
      <c r="W75" s="17"/>
    </row>
    <row r="76" spans="1:23" ht="23.1" customHeight="1">
      <c r="A76" s="120"/>
      <c r="B76" s="7" t="s">
        <v>3</v>
      </c>
      <c r="C76" s="13"/>
      <c r="D76" s="11" t="s">
        <v>12</v>
      </c>
      <c r="E76" s="22">
        <v>2.4</v>
      </c>
      <c r="F76" s="23">
        <f>2.6*35</f>
        <v>91</v>
      </c>
      <c r="G76" s="17"/>
      <c r="H76" s="11" t="s">
        <v>12</v>
      </c>
      <c r="I76" s="22">
        <v>2.25</v>
      </c>
      <c r="J76" s="23">
        <f>2.99*35</f>
        <v>104.65</v>
      </c>
      <c r="K76" s="17"/>
      <c r="L76" s="11" t="s">
        <v>12</v>
      </c>
      <c r="M76" s="22">
        <v>2.2000000000000002</v>
      </c>
      <c r="N76" s="23">
        <f>2.21*35</f>
        <v>77.349999999999994</v>
      </c>
      <c r="O76" s="17"/>
      <c r="P76" s="11" t="s">
        <v>12</v>
      </c>
      <c r="Q76" s="22">
        <v>0.76</v>
      </c>
      <c r="R76" s="23">
        <f>0.67*35</f>
        <v>23.450000000000003</v>
      </c>
      <c r="S76" s="17"/>
      <c r="T76" s="11" t="s">
        <v>12</v>
      </c>
      <c r="U76" s="34"/>
      <c r="V76" s="35"/>
      <c r="W76" s="17"/>
    </row>
    <row r="77" spans="1:23" ht="23.1" customHeight="1" thickBot="1">
      <c r="A77" s="74" t="s">
        <v>99</v>
      </c>
      <c r="B77" s="8" t="s">
        <v>4</v>
      </c>
      <c r="C77" s="13"/>
      <c r="D77" s="12" t="s">
        <v>12</v>
      </c>
      <c r="E77" s="46"/>
      <c r="F77" s="47"/>
      <c r="G77" s="17"/>
      <c r="H77" s="12" t="s">
        <v>12</v>
      </c>
      <c r="I77" s="24">
        <v>3.27</v>
      </c>
      <c r="J77" s="25">
        <f>2.42*35</f>
        <v>84.7</v>
      </c>
      <c r="K77" s="17"/>
      <c r="L77" s="12" t="s">
        <v>12</v>
      </c>
      <c r="M77" s="24">
        <v>2.35</v>
      </c>
      <c r="N77" s="25">
        <f>1.69*35</f>
        <v>59.15</v>
      </c>
      <c r="O77" s="17"/>
      <c r="P77" s="12" t="s">
        <v>12</v>
      </c>
      <c r="Q77" s="46"/>
      <c r="R77" s="47"/>
      <c r="S77" s="17"/>
      <c r="T77" s="12" t="s">
        <v>12</v>
      </c>
      <c r="U77" s="46"/>
      <c r="V77" s="47"/>
      <c r="W77" s="17"/>
    </row>
    <row r="78" spans="1:23" ht="4.7" customHeight="1" thickBot="1">
      <c r="A78" s="14"/>
      <c r="B78" s="15"/>
      <c r="C78" s="13"/>
      <c r="D78" s="16"/>
      <c r="E78" s="26"/>
      <c r="F78" s="26"/>
      <c r="G78" s="13"/>
      <c r="H78" s="16"/>
      <c r="I78" s="26"/>
      <c r="J78" s="26"/>
      <c r="K78" s="13"/>
      <c r="L78" s="16"/>
      <c r="M78" s="26"/>
      <c r="N78" s="26"/>
      <c r="O78" s="13"/>
      <c r="P78" s="16"/>
      <c r="Q78" s="26"/>
      <c r="R78" s="26"/>
      <c r="S78" s="13"/>
      <c r="T78" s="16"/>
      <c r="U78" s="26"/>
      <c r="V78" s="26"/>
      <c r="W78" s="13"/>
    </row>
    <row r="79" spans="1:23" ht="23.1" customHeight="1">
      <c r="A79" s="119" t="s">
        <v>16</v>
      </c>
      <c r="B79" s="6" t="s">
        <v>1</v>
      </c>
      <c r="C79" s="13"/>
      <c r="D79" s="10" t="s">
        <v>12</v>
      </c>
      <c r="E79" s="20">
        <v>4.0999999999999996</v>
      </c>
      <c r="F79" s="21">
        <f>5.68*35</f>
        <v>198.79999999999998</v>
      </c>
      <c r="G79" s="17"/>
      <c r="H79" s="10" t="s">
        <v>12</v>
      </c>
      <c r="I79" s="20">
        <v>7.25</v>
      </c>
      <c r="J79" s="21">
        <f>8.05*35</f>
        <v>281.75</v>
      </c>
      <c r="K79" s="17"/>
      <c r="L79" s="10" t="s">
        <v>12</v>
      </c>
      <c r="M79" s="20">
        <v>6.51</v>
      </c>
      <c r="N79" s="21">
        <f>10.3*35</f>
        <v>360.5</v>
      </c>
      <c r="O79" s="17"/>
      <c r="P79" s="10" t="s">
        <v>12</v>
      </c>
      <c r="Q79" s="20">
        <v>0.94</v>
      </c>
      <c r="R79" s="21">
        <f>0.89*35</f>
        <v>31.150000000000002</v>
      </c>
      <c r="S79" s="17"/>
      <c r="T79" s="10" t="s">
        <v>12</v>
      </c>
      <c r="U79" s="44"/>
      <c r="V79" s="45"/>
      <c r="W79" s="17"/>
    </row>
    <row r="80" spans="1:23" ht="23.1" customHeight="1">
      <c r="A80" s="120"/>
      <c r="B80" s="7" t="s">
        <v>2</v>
      </c>
      <c r="C80" s="13"/>
      <c r="D80" s="11" t="s">
        <v>12</v>
      </c>
      <c r="E80" s="22">
        <v>2.5499999999999998</v>
      </c>
      <c r="F80" s="23">
        <f>1.76*35</f>
        <v>61.6</v>
      </c>
      <c r="G80" s="17"/>
      <c r="H80" s="11" t="s">
        <v>12</v>
      </c>
      <c r="I80" s="22">
        <v>3.67</v>
      </c>
      <c r="J80" s="23">
        <f>3.11*35</f>
        <v>108.85</v>
      </c>
      <c r="K80" s="17"/>
      <c r="L80" s="11" t="s">
        <v>12</v>
      </c>
      <c r="M80" s="22">
        <v>3.56</v>
      </c>
      <c r="N80" s="23">
        <f>0.14*35</f>
        <v>4.9000000000000004</v>
      </c>
      <c r="O80" s="17"/>
      <c r="P80" s="11" t="s">
        <v>12</v>
      </c>
      <c r="Q80" s="22">
        <v>0.93</v>
      </c>
      <c r="R80" s="23">
        <f>0.79*35</f>
        <v>27.650000000000002</v>
      </c>
      <c r="S80" s="17"/>
      <c r="T80" s="11" t="s">
        <v>12</v>
      </c>
      <c r="U80" s="34"/>
      <c r="V80" s="35"/>
      <c r="W80" s="17"/>
    </row>
    <row r="81" spans="1:23" ht="23.1" customHeight="1">
      <c r="A81" s="120"/>
      <c r="B81" s="7" t="s">
        <v>3</v>
      </c>
      <c r="C81" s="13"/>
      <c r="D81" s="11" t="s">
        <v>12</v>
      </c>
      <c r="E81" s="22">
        <v>1.03</v>
      </c>
      <c r="F81" s="23">
        <f>1.23*35</f>
        <v>43.05</v>
      </c>
      <c r="G81" s="17"/>
      <c r="H81" s="11" t="s">
        <v>12</v>
      </c>
      <c r="I81" s="22">
        <v>2.84</v>
      </c>
      <c r="J81" s="23">
        <f>2.12*35</f>
        <v>74.2</v>
      </c>
      <c r="K81" s="17"/>
      <c r="L81" s="11" t="s">
        <v>12</v>
      </c>
      <c r="M81" s="22">
        <v>2.91</v>
      </c>
      <c r="N81" s="23">
        <f>0.11*35</f>
        <v>3.85</v>
      </c>
      <c r="O81" s="17"/>
      <c r="P81" s="11" t="s">
        <v>12</v>
      </c>
      <c r="Q81" s="22">
        <v>0.83</v>
      </c>
      <c r="R81" s="23">
        <f>0.91*35</f>
        <v>31.85</v>
      </c>
      <c r="S81" s="17"/>
      <c r="T81" s="11" t="s">
        <v>12</v>
      </c>
      <c r="U81" s="34"/>
      <c r="V81" s="35"/>
      <c r="W81" s="17"/>
    </row>
    <row r="82" spans="1:23" ht="23.1" customHeight="1" thickBot="1">
      <c r="A82" s="74" t="s">
        <v>100</v>
      </c>
      <c r="B82" s="8" t="s">
        <v>4</v>
      </c>
      <c r="C82" s="13"/>
      <c r="D82" s="12" t="s">
        <v>12</v>
      </c>
      <c r="E82" s="46"/>
      <c r="F82" s="47"/>
      <c r="G82" s="17"/>
      <c r="H82" s="12" t="s">
        <v>12</v>
      </c>
      <c r="I82" s="24">
        <v>2.44</v>
      </c>
      <c r="J82" s="25">
        <f>1.81*35</f>
        <v>63.35</v>
      </c>
      <c r="K82" s="17"/>
      <c r="L82" s="12" t="s">
        <v>12</v>
      </c>
      <c r="M82" s="24">
        <v>2.2000000000000002</v>
      </c>
      <c r="N82" s="25">
        <f>2.7*35</f>
        <v>94.5</v>
      </c>
      <c r="O82" s="17"/>
      <c r="P82" s="12" t="s">
        <v>12</v>
      </c>
      <c r="Q82" s="46"/>
      <c r="R82" s="47"/>
      <c r="S82" s="17"/>
      <c r="T82" s="12" t="s">
        <v>12</v>
      </c>
      <c r="U82" s="46"/>
      <c r="V82" s="47"/>
      <c r="W82" s="17"/>
    </row>
    <row r="83" spans="1:23" ht="4.7" customHeight="1" thickBot="1">
      <c r="A83" s="14"/>
      <c r="B83" s="15"/>
      <c r="C83" s="13"/>
      <c r="D83" s="16"/>
      <c r="E83" s="26"/>
      <c r="F83" s="26"/>
      <c r="G83" s="13"/>
      <c r="H83" s="16"/>
      <c r="I83" s="26"/>
      <c r="J83" s="26"/>
      <c r="K83" s="13"/>
      <c r="L83" s="16"/>
      <c r="M83" s="26"/>
      <c r="N83" s="26"/>
      <c r="O83" s="13"/>
      <c r="P83" s="16"/>
      <c r="Q83" s="26"/>
      <c r="R83" s="26"/>
      <c r="S83" s="13"/>
      <c r="T83" s="16"/>
      <c r="U83" s="26"/>
      <c r="V83" s="26"/>
      <c r="W83" s="13"/>
    </row>
    <row r="84" spans="1:23" ht="23.1" customHeight="1">
      <c r="A84" s="115" t="s">
        <v>16</v>
      </c>
      <c r="B84" s="6" t="s">
        <v>1</v>
      </c>
      <c r="C84" s="13"/>
      <c r="D84" s="10" t="s">
        <v>12</v>
      </c>
      <c r="E84" s="20">
        <v>5.89</v>
      </c>
      <c r="F84" s="21">
        <f>11.7*35</f>
        <v>409.5</v>
      </c>
      <c r="G84" s="17"/>
      <c r="H84" s="10" t="s">
        <v>12</v>
      </c>
      <c r="I84" s="20">
        <v>4.87</v>
      </c>
      <c r="J84" s="21">
        <f>6.08*35</f>
        <v>212.8</v>
      </c>
      <c r="K84" s="17"/>
      <c r="L84" s="10" t="s">
        <v>12</v>
      </c>
      <c r="M84" s="20">
        <v>4.63</v>
      </c>
      <c r="N84" s="21">
        <f>3.01*35</f>
        <v>105.35</v>
      </c>
      <c r="O84" s="17"/>
      <c r="P84" s="10" t="s">
        <v>12</v>
      </c>
      <c r="Q84" s="44"/>
      <c r="R84" s="45"/>
      <c r="S84" s="17"/>
      <c r="T84" s="10" t="s">
        <v>12</v>
      </c>
      <c r="U84" s="44"/>
      <c r="V84" s="45"/>
      <c r="W84" s="17"/>
    </row>
    <row r="85" spans="1:23" ht="23.1" customHeight="1">
      <c r="A85" s="116"/>
      <c r="B85" s="7" t="s">
        <v>2</v>
      </c>
      <c r="C85" s="13"/>
      <c r="D85" s="11" t="s">
        <v>12</v>
      </c>
      <c r="E85" s="22">
        <v>3.12</v>
      </c>
      <c r="F85" s="23">
        <f>3.2*35</f>
        <v>112</v>
      </c>
      <c r="G85" s="17"/>
      <c r="H85" s="11" t="s">
        <v>12</v>
      </c>
      <c r="I85" s="22">
        <v>9.42</v>
      </c>
      <c r="J85" s="23">
        <f>7.8*35</f>
        <v>273</v>
      </c>
      <c r="K85" s="17"/>
      <c r="L85" s="11" t="s">
        <v>12</v>
      </c>
      <c r="M85" s="22">
        <v>6.57</v>
      </c>
      <c r="N85" s="23">
        <f>0.12*35</f>
        <v>4.2</v>
      </c>
      <c r="O85" s="17"/>
      <c r="P85" s="11" t="s">
        <v>12</v>
      </c>
      <c r="Q85" s="34"/>
      <c r="R85" s="35"/>
      <c r="S85" s="17"/>
      <c r="T85" s="11" t="s">
        <v>12</v>
      </c>
      <c r="U85" s="34"/>
      <c r="V85" s="35"/>
      <c r="W85" s="17"/>
    </row>
    <row r="86" spans="1:23" ht="23.1" customHeight="1">
      <c r="A86" s="116"/>
      <c r="B86" s="7" t="s">
        <v>3</v>
      </c>
      <c r="C86" s="13"/>
      <c r="D86" s="11" t="s">
        <v>12</v>
      </c>
      <c r="E86" s="22">
        <v>2.1800000000000002</v>
      </c>
      <c r="F86" s="23">
        <f>2.57*35</f>
        <v>89.949999999999989</v>
      </c>
      <c r="G86" s="17"/>
      <c r="H86" s="11" t="s">
        <v>12</v>
      </c>
      <c r="I86" s="22">
        <v>4.87</v>
      </c>
      <c r="J86" s="23">
        <f>6.28*35</f>
        <v>219.8</v>
      </c>
      <c r="K86" s="17"/>
      <c r="L86" s="11" t="s">
        <v>12</v>
      </c>
      <c r="M86" s="22">
        <v>2.33</v>
      </c>
      <c r="N86" s="23">
        <f>1.39*35</f>
        <v>48.65</v>
      </c>
      <c r="O86" s="17"/>
      <c r="P86" s="11" t="s">
        <v>12</v>
      </c>
      <c r="Q86" s="34"/>
      <c r="R86" s="35"/>
      <c r="S86" s="17"/>
      <c r="T86" s="11" t="s">
        <v>12</v>
      </c>
      <c r="U86" s="34"/>
      <c r="V86" s="35"/>
      <c r="W86" s="17"/>
    </row>
    <row r="87" spans="1:23" ht="23.1" customHeight="1" thickBot="1">
      <c r="A87" s="75" t="s">
        <v>101</v>
      </c>
      <c r="B87" s="8" t="s">
        <v>4</v>
      </c>
      <c r="C87" s="13"/>
      <c r="D87" s="12" t="s">
        <v>12</v>
      </c>
      <c r="E87" s="46"/>
      <c r="F87" s="47"/>
      <c r="G87" s="17"/>
      <c r="H87" s="12" t="s">
        <v>12</v>
      </c>
      <c r="I87" s="24">
        <v>3.06</v>
      </c>
      <c r="J87" s="25">
        <f>3.34*35</f>
        <v>116.89999999999999</v>
      </c>
      <c r="K87" s="17"/>
      <c r="L87" s="12" t="s">
        <v>12</v>
      </c>
      <c r="M87" s="24">
        <v>1.59</v>
      </c>
      <c r="N87" s="25">
        <f>1.21*35</f>
        <v>42.35</v>
      </c>
      <c r="O87" s="17"/>
      <c r="P87" s="12" t="s">
        <v>12</v>
      </c>
      <c r="Q87" s="46"/>
      <c r="R87" s="47"/>
      <c r="S87" s="17"/>
      <c r="T87" s="12" t="s">
        <v>12</v>
      </c>
      <c r="U87" s="46"/>
      <c r="V87" s="47"/>
      <c r="W87" s="17"/>
    </row>
    <row r="88" spans="1:23" ht="4.7" customHeight="1" thickBot="1">
      <c r="A88" s="17"/>
      <c r="B88" s="17"/>
      <c r="C88" s="13"/>
      <c r="D88" s="17"/>
      <c r="E88" s="33"/>
      <c r="F88" s="33"/>
      <c r="G88" s="17"/>
      <c r="H88" s="17"/>
      <c r="I88" s="33"/>
      <c r="J88" s="33"/>
      <c r="K88" s="17"/>
      <c r="L88" s="17"/>
      <c r="M88" s="33"/>
      <c r="N88" s="33"/>
      <c r="O88" s="17"/>
      <c r="P88" s="17"/>
      <c r="Q88" s="33"/>
      <c r="R88" s="33"/>
      <c r="S88" s="17"/>
      <c r="T88" s="17"/>
      <c r="U88" s="33"/>
      <c r="V88" s="33"/>
      <c r="W88" s="17"/>
    </row>
    <row r="89" spans="1:23" ht="23.1" customHeight="1">
      <c r="A89" s="115" t="s">
        <v>16</v>
      </c>
      <c r="B89" s="6" t="s">
        <v>1</v>
      </c>
      <c r="C89" s="13"/>
      <c r="D89" s="10" t="s">
        <v>12</v>
      </c>
      <c r="E89" s="20">
        <v>4.97</v>
      </c>
      <c r="F89" s="21">
        <f>5.34*35</f>
        <v>186.9</v>
      </c>
      <c r="G89" s="17"/>
      <c r="H89" s="10" t="s">
        <v>12</v>
      </c>
      <c r="I89" s="20">
        <v>5.82</v>
      </c>
      <c r="J89" s="21">
        <f>11*35</f>
        <v>385</v>
      </c>
      <c r="K89" s="17"/>
      <c r="L89" s="10" t="s">
        <v>12</v>
      </c>
      <c r="M89" s="20">
        <v>5.47</v>
      </c>
      <c r="N89" s="21">
        <f>0.11*35</f>
        <v>3.85</v>
      </c>
      <c r="O89" s="17"/>
      <c r="P89" s="10" t="s">
        <v>12</v>
      </c>
      <c r="Q89" s="20">
        <v>5.6</v>
      </c>
      <c r="R89" s="21">
        <f>3.64*35</f>
        <v>127.4</v>
      </c>
      <c r="S89" s="17"/>
      <c r="T89" s="10" t="s">
        <v>12</v>
      </c>
      <c r="U89" s="44"/>
      <c r="V89" s="45"/>
      <c r="W89" s="17"/>
    </row>
    <row r="90" spans="1:23" ht="23.1" customHeight="1">
      <c r="A90" s="116"/>
      <c r="B90" s="7" t="s">
        <v>2</v>
      </c>
      <c r="C90" s="13"/>
      <c r="D90" s="11" t="s">
        <v>12</v>
      </c>
      <c r="E90" s="22">
        <v>2.11</v>
      </c>
      <c r="F90" s="23">
        <f>1.35*35</f>
        <v>47.25</v>
      </c>
      <c r="G90" s="17"/>
      <c r="H90" s="11" t="s">
        <v>12</v>
      </c>
      <c r="I90" s="22">
        <v>9.17</v>
      </c>
      <c r="J90" s="23">
        <f>5.28*35</f>
        <v>184.8</v>
      </c>
      <c r="K90" s="17"/>
      <c r="L90" s="11" t="s">
        <v>12</v>
      </c>
      <c r="M90" s="22">
        <v>4.54</v>
      </c>
      <c r="N90" s="23">
        <f>0.12*35</f>
        <v>4.2</v>
      </c>
      <c r="O90" s="17"/>
      <c r="P90" s="11" t="s">
        <v>12</v>
      </c>
      <c r="Q90" s="22">
        <v>1.07</v>
      </c>
      <c r="R90" s="23">
        <f>1.08*35</f>
        <v>37.800000000000004</v>
      </c>
      <c r="S90" s="17"/>
      <c r="T90" s="11" t="s">
        <v>12</v>
      </c>
      <c r="U90" s="34"/>
      <c r="V90" s="35"/>
      <c r="W90" s="17"/>
    </row>
    <row r="91" spans="1:23" ht="23.1" customHeight="1">
      <c r="A91" s="116"/>
      <c r="B91" s="7" t="s">
        <v>3</v>
      </c>
      <c r="C91" s="13"/>
      <c r="D91" s="11" t="s">
        <v>12</v>
      </c>
      <c r="E91" s="22">
        <v>3.42</v>
      </c>
      <c r="F91" s="23">
        <f>4.42*35</f>
        <v>154.69999999999999</v>
      </c>
      <c r="G91" s="17"/>
      <c r="H91" s="11" t="s">
        <v>12</v>
      </c>
      <c r="I91" s="22">
        <v>4.1500000000000004</v>
      </c>
      <c r="J91" s="23">
        <f>6.7*35</f>
        <v>234.5</v>
      </c>
      <c r="K91" s="17"/>
      <c r="L91" s="11" t="s">
        <v>12</v>
      </c>
      <c r="M91" s="22">
        <v>2.11</v>
      </c>
      <c r="N91" s="23">
        <f>0.11*35</f>
        <v>3.85</v>
      </c>
      <c r="O91" s="17"/>
      <c r="P91" s="11" t="s">
        <v>12</v>
      </c>
      <c r="Q91" s="22">
        <v>1.18</v>
      </c>
      <c r="R91" s="23">
        <f>1.21*35</f>
        <v>42.35</v>
      </c>
      <c r="S91" s="17"/>
      <c r="T91" s="11" t="s">
        <v>12</v>
      </c>
      <c r="U91" s="34"/>
      <c r="V91" s="35"/>
      <c r="W91" s="17"/>
    </row>
    <row r="92" spans="1:23" ht="23.1" customHeight="1" thickBot="1">
      <c r="A92" s="75" t="s">
        <v>102</v>
      </c>
      <c r="B92" s="8" t="s">
        <v>4</v>
      </c>
      <c r="C92" s="13"/>
      <c r="D92" s="12" t="s">
        <v>12</v>
      </c>
      <c r="E92" s="46"/>
      <c r="F92" s="47"/>
      <c r="G92" s="17"/>
      <c r="H92" s="12" t="s">
        <v>12</v>
      </c>
      <c r="I92" s="24">
        <v>2.4</v>
      </c>
      <c r="J92" s="25">
        <f>2.67*35</f>
        <v>93.45</v>
      </c>
      <c r="K92" s="17"/>
      <c r="L92" s="12" t="s">
        <v>12</v>
      </c>
      <c r="M92" s="24">
        <v>1.84</v>
      </c>
      <c r="N92" s="25">
        <f>2.35*35</f>
        <v>82.25</v>
      </c>
      <c r="O92" s="17"/>
      <c r="P92" s="12" t="s">
        <v>12</v>
      </c>
      <c r="Q92" s="46"/>
      <c r="R92" s="47"/>
      <c r="S92" s="17"/>
      <c r="T92" s="12" t="s">
        <v>12</v>
      </c>
      <c r="U92" s="46"/>
      <c r="V92" s="47"/>
      <c r="W92" s="17"/>
    </row>
    <row r="93" spans="1:23" ht="4.7" customHeight="1" thickBot="1">
      <c r="A93" s="17"/>
      <c r="B93" s="17"/>
      <c r="C93" s="13"/>
      <c r="D93" s="17"/>
      <c r="E93" s="33"/>
      <c r="F93" s="33"/>
      <c r="G93" s="17"/>
      <c r="H93" s="17"/>
      <c r="I93" s="33"/>
      <c r="J93" s="33"/>
      <c r="K93" s="17"/>
      <c r="L93" s="17"/>
      <c r="M93" s="33"/>
      <c r="N93" s="33"/>
      <c r="O93" s="17"/>
      <c r="P93" s="17"/>
      <c r="Q93" s="33"/>
      <c r="R93" s="33"/>
      <c r="S93" s="17"/>
      <c r="T93" s="17"/>
      <c r="U93" s="33"/>
      <c r="V93" s="33"/>
      <c r="W93" s="17"/>
    </row>
    <row r="94" spans="1:23" ht="23.1" customHeight="1">
      <c r="A94" s="100" t="s">
        <v>16</v>
      </c>
      <c r="B94" s="6" t="s">
        <v>1</v>
      </c>
      <c r="C94" s="13"/>
      <c r="D94" s="10" t="s">
        <v>15</v>
      </c>
      <c r="E94" s="20">
        <v>2.5499999999999998</v>
      </c>
      <c r="F94" s="21">
        <f>1.81*35</f>
        <v>63.35</v>
      </c>
      <c r="G94" s="17"/>
      <c r="H94" s="10" t="s">
        <v>15</v>
      </c>
      <c r="I94" s="20">
        <v>6.26</v>
      </c>
      <c r="J94" s="21">
        <f>10.6*35</f>
        <v>371</v>
      </c>
      <c r="K94" s="17"/>
      <c r="L94" s="10" t="s">
        <v>15</v>
      </c>
      <c r="M94" s="20">
        <v>4.95</v>
      </c>
      <c r="N94" s="21">
        <f>4.94*35</f>
        <v>172.9</v>
      </c>
      <c r="O94" s="17"/>
      <c r="P94" s="10" t="s">
        <v>15</v>
      </c>
      <c r="Q94" s="44"/>
      <c r="R94" s="45"/>
      <c r="S94" s="17"/>
      <c r="T94" s="10" t="s">
        <v>15</v>
      </c>
      <c r="U94" s="20">
        <v>2.27</v>
      </c>
      <c r="V94" s="21">
        <f>1.48*35</f>
        <v>51.8</v>
      </c>
      <c r="W94" s="17"/>
    </row>
    <row r="95" spans="1:23" ht="23.1" customHeight="1">
      <c r="A95" s="101"/>
      <c r="B95" s="7" t="s">
        <v>2</v>
      </c>
      <c r="C95" s="13"/>
      <c r="D95" s="11" t="s">
        <v>15</v>
      </c>
      <c r="E95" s="22">
        <v>4.1399999999999997</v>
      </c>
      <c r="F95" s="23">
        <f>1.9*35</f>
        <v>66.5</v>
      </c>
      <c r="G95" s="17"/>
      <c r="H95" s="11" t="s">
        <v>15</v>
      </c>
      <c r="I95" s="22">
        <v>6.37</v>
      </c>
      <c r="J95" s="23">
        <f>5.08*35</f>
        <v>177.8</v>
      </c>
      <c r="K95" s="17"/>
      <c r="L95" s="11" t="s">
        <v>15</v>
      </c>
      <c r="M95" s="22">
        <v>7.09</v>
      </c>
      <c r="N95" s="23">
        <f>7.92*35</f>
        <v>277.2</v>
      </c>
      <c r="O95" s="17"/>
      <c r="P95" s="11" t="s">
        <v>15</v>
      </c>
      <c r="Q95" s="34"/>
      <c r="R95" s="35"/>
      <c r="S95" s="17"/>
      <c r="T95" s="11" t="s">
        <v>15</v>
      </c>
      <c r="U95" s="22">
        <v>1.28</v>
      </c>
      <c r="V95" s="23">
        <f>1.63*35</f>
        <v>57.05</v>
      </c>
      <c r="W95" s="17"/>
    </row>
    <row r="96" spans="1:23" ht="23.1" customHeight="1">
      <c r="A96" s="101"/>
      <c r="B96" s="7" t="s">
        <v>3</v>
      </c>
      <c r="C96" s="13"/>
      <c r="D96" s="11" t="s">
        <v>15</v>
      </c>
      <c r="E96" s="22">
        <v>0.8</v>
      </c>
      <c r="F96" s="23">
        <f>0.58*35</f>
        <v>20.299999999999997</v>
      </c>
      <c r="G96" s="17"/>
      <c r="H96" s="11" t="s">
        <v>15</v>
      </c>
      <c r="I96" s="22">
        <v>3.82</v>
      </c>
      <c r="J96" s="23">
        <f>2.8*35</f>
        <v>98</v>
      </c>
      <c r="K96" s="17"/>
      <c r="L96" s="11" t="s">
        <v>15</v>
      </c>
      <c r="M96" s="22">
        <v>2.21</v>
      </c>
      <c r="N96" s="23">
        <f>1.93*35</f>
        <v>67.55</v>
      </c>
      <c r="O96" s="17"/>
      <c r="P96" s="11" t="s">
        <v>15</v>
      </c>
      <c r="Q96" s="34"/>
      <c r="R96" s="35"/>
      <c r="S96" s="17"/>
      <c r="T96" s="11" t="s">
        <v>15</v>
      </c>
      <c r="U96" s="22">
        <v>0.97</v>
      </c>
      <c r="V96" s="23">
        <f>0.94*35</f>
        <v>32.9</v>
      </c>
      <c r="W96" s="17"/>
    </row>
    <row r="97" spans="1:23" ht="23.1" customHeight="1" thickBot="1">
      <c r="A97" s="42" t="s">
        <v>103</v>
      </c>
      <c r="B97" s="8" t="s">
        <v>4</v>
      </c>
      <c r="C97" s="13"/>
      <c r="D97" s="12" t="s">
        <v>15</v>
      </c>
      <c r="E97" s="46"/>
      <c r="F97" s="47"/>
      <c r="G97" s="17"/>
      <c r="H97" s="12" t="s">
        <v>15</v>
      </c>
      <c r="I97" s="24">
        <v>1.92</v>
      </c>
      <c r="J97" s="25">
        <f>1.98*35</f>
        <v>69.3</v>
      </c>
      <c r="K97" s="17"/>
      <c r="L97" s="12" t="s">
        <v>15</v>
      </c>
      <c r="M97" s="24">
        <v>1.72</v>
      </c>
      <c r="N97" s="25">
        <f>1.74*35</f>
        <v>60.9</v>
      </c>
      <c r="O97" s="17"/>
      <c r="P97" s="12" t="s">
        <v>15</v>
      </c>
      <c r="Q97" s="46"/>
      <c r="R97" s="47"/>
      <c r="S97" s="17"/>
      <c r="T97" s="12" t="s">
        <v>15</v>
      </c>
      <c r="U97" s="36"/>
      <c r="V97" s="37"/>
      <c r="W97" s="17"/>
    </row>
    <row r="98" spans="1:23" ht="4.7" customHeight="1" thickBot="1">
      <c r="A98" s="14"/>
      <c r="B98" s="15"/>
      <c r="C98" s="13"/>
      <c r="D98" s="16"/>
      <c r="E98" s="26"/>
      <c r="F98" s="26"/>
      <c r="G98" s="13"/>
      <c r="H98" s="16"/>
      <c r="I98" s="26"/>
      <c r="J98" s="26"/>
      <c r="K98" s="13"/>
      <c r="L98" s="16"/>
      <c r="M98" s="26"/>
      <c r="N98" s="26"/>
      <c r="O98" s="13"/>
      <c r="P98" s="16"/>
      <c r="Q98" s="26"/>
      <c r="R98" s="26"/>
      <c r="S98" s="13"/>
      <c r="T98" s="16"/>
      <c r="U98" s="26"/>
      <c r="V98" s="26"/>
      <c r="W98" s="13"/>
    </row>
    <row r="99" spans="1:23" ht="23.1" customHeight="1">
      <c r="A99" s="117" t="s">
        <v>16</v>
      </c>
      <c r="B99" s="6" t="s">
        <v>1</v>
      </c>
      <c r="C99" s="13"/>
      <c r="D99" s="10" t="s">
        <v>15</v>
      </c>
      <c r="E99" s="20">
        <v>6.58</v>
      </c>
      <c r="F99" s="21">
        <f>13.2*35</f>
        <v>462</v>
      </c>
      <c r="G99" s="17"/>
      <c r="H99" s="10" t="s">
        <v>15</v>
      </c>
      <c r="I99" s="44"/>
      <c r="J99" s="45"/>
      <c r="K99" s="17"/>
      <c r="L99" s="10" t="s">
        <v>15</v>
      </c>
      <c r="M99" s="20">
        <v>5.14</v>
      </c>
      <c r="N99" s="21">
        <f>0.11*35</f>
        <v>3.85</v>
      </c>
      <c r="O99" s="17"/>
      <c r="P99" s="10" t="s">
        <v>15</v>
      </c>
      <c r="Q99" s="44"/>
      <c r="R99" s="45"/>
      <c r="S99" s="17"/>
      <c r="T99" s="10" t="s">
        <v>15</v>
      </c>
      <c r="U99" s="57">
        <v>1.22</v>
      </c>
      <c r="V99" s="58">
        <f>0.8*35</f>
        <v>28</v>
      </c>
      <c r="W99" s="17"/>
    </row>
    <row r="100" spans="1:23" ht="23.1" customHeight="1">
      <c r="A100" s="118"/>
      <c r="B100" s="7" t="s">
        <v>2</v>
      </c>
      <c r="C100" s="13"/>
      <c r="D100" s="11" t="s">
        <v>15</v>
      </c>
      <c r="E100" s="22">
        <v>7.39</v>
      </c>
      <c r="F100" s="23">
        <f>3.81*35</f>
        <v>133.35</v>
      </c>
      <c r="G100" s="17"/>
      <c r="H100" s="11" t="s">
        <v>15</v>
      </c>
      <c r="I100" s="34"/>
      <c r="J100" s="35"/>
      <c r="K100" s="17"/>
      <c r="L100" s="11" t="s">
        <v>15</v>
      </c>
      <c r="M100" s="22">
        <v>3.65</v>
      </c>
      <c r="N100" s="23">
        <f>0.12*35</f>
        <v>4.2</v>
      </c>
      <c r="O100" s="17"/>
      <c r="P100" s="11" t="s">
        <v>15</v>
      </c>
      <c r="Q100" s="34"/>
      <c r="R100" s="35"/>
      <c r="S100" s="17"/>
      <c r="T100" s="11" t="s">
        <v>15</v>
      </c>
      <c r="U100" s="48">
        <v>1.25</v>
      </c>
      <c r="V100" s="49">
        <f>1.04*35</f>
        <v>36.4</v>
      </c>
      <c r="W100" s="17"/>
    </row>
    <row r="101" spans="1:23" ht="23.1" customHeight="1">
      <c r="A101" s="118"/>
      <c r="B101" s="7" t="s">
        <v>3</v>
      </c>
      <c r="C101" s="13"/>
      <c r="D101" s="11" t="s">
        <v>15</v>
      </c>
      <c r="E101" s="22">
        <v>4.6100000000000003</v>
      </c>
      <c r="F101" s="23">
        <f>8.98*35</f>
        <v>314.3</v>
      </c>
      <c r="G101" s="17"/>
      <c r="H101" s="11" t="s">
        <v>15</v>
      </c>
      <c r="I101" s="34"/>
      <c r="J101" s="35"/>
      <c r="K101" s="17"/>
      <c r="L101" s="11" t="s">
        <v>15</v>
      </c>
      <c r="M101" s="22">
        <v>3.55</v>
      </c>
      <c r="N101" s="23">
        <f>3.19*35</f>
        <v>111.64999999999999</v>
      </c>
      <c r="O101" s="17"/>
      <c r="P101" s="11" t="s">
        <v>15</v>
      </c>
      <c r="Q101" s="34"/>
      <c r="R101" s="35"/>
      <c r="S101" s="17"/>
      <c r="T101" s="11" t="s">
        <v>15</v>
      </c>
      <c r="U101" s="48">
        <v>1.04</v>
      </c>
      <c r="V101" s="49">
        <f>0.97*35</f>
        <v>33.949999999999996</v>
      </c>
      <c r="W101" s="17"/>
    </row>
    <row r="102" spans="1:23" ht="23.1" customHeight="1" thickBot="1">
      <c r="A102" s="43" t="s">
        <v>17</v>
      </c>
      <c r="B102" s="8" t="s">
        <v>4</v>
      </c>
      <c r="C102" s="13"/>
      <c r="D102" s="12" t="s">
        <v>15</v>
      </c>
      <c r="E102" s="24">
        <v>3.89</v>
      </c>
      <c r="F102" s="25">
        <f>2.55*35</f>
        <v>89.25</v>
      </c>
      <c r="G102" s="17"/>
      <c r="H102" s="12" t="s">
        <v>15</v>
      </c>
      <c r="I102" s="46"/>
      <c r="J102" s="47"/>
      <c r="K102" s="17"/>
      <c r="L102" s="12" t="s">
        <v>15</v>
      </c>
      <c r="M102" s="24">
        <v>2.46</v>
      </c>
      <c r="N102" s="25">
        <f>2.48*35</f>
        <v>86.8</v>
      </c>
      <c r="O102" s="17"/>
      <c r="P102" s="12" t="s">
        <v>15</v>
      </c>
      <c r="Q102" s="46"/>
      <c r="R102" s="47"/>
      <c r="S102" s="17"/>
      <c r="T102" s="12" t="s">
        <v>15</v>
      </c>
      <c r="U102" s="46"/>
      <c r="V102" s="47"/>
      <c r="W102" s="17"/>
    </row>
    <row r="103" spans="1:23" ht="4.7" customHeight="1">
      <c r="A103" s="17"/>
      <c r="B103" s="17"/>
      <c r="C103" s="13"/>
      <c r="D103" s="17"/>
      <c r="E103" s="33"/>
      <c r="F103" s="33"/>
      <c r="G103" s="17"/>
      <c r="H103" s="17"/>
      <c r="I103" s="33"/>
      <c r="J103" s="33"/>
      <c r="K103" s="17"/>
      <c r="L103" s="17"/>
      <c r="M103" s="33"/>
      <c r="N103" s="33"/>
      <c r="O103" s="17"/>
      <c r="P103" s="17"/>
      <c r="Q103" s="33"/>
      <c r="R103" s="33"/>
      <c r="S103" s="17"/>
      <c r="T103" s="17"/>
      <c r="U103" s="33"/>
      <c r="V103" s="33"/>
      <c r="W103" s="17"/>
    </row>
    <row r="104" spans="1:23" ht="15" thickBot="1"/>
    <row r="105" spans="1:23" ht="15">
      <c r="B105" s="9" t="s">
        <v>9</v>
      </c>
      <c r="D105" s="108">
        <v>40314</v>
      </c>
      <c r="E105" s="106"/>
      <c r="F105" s="107"/>
    </row>
    <row r="106" spans="1:23" ht="45.75" thickBot="1">
      <c r="A106" s="2"/>
      <c r="B106" s="2"/>
      <c r="C106" s="4"/>
      <c r="D106" s="63" t="s">
        <v>6</v>
      </c>
      <c r="E106" s="61" t="s">
        <v>7</v>
      </c>
      <c r="F106" s="64" t="s">
        <v>8</v>
      </c>
      <c r="G106" s="2"/>
    </row>
    <row r="107" spans="1:23" ht="4.7" customHeight="1" thickBot="1">
      <c r="A107" s="14"/>
      <c r="B107" s="15"/>
      <c r="C107" s="13"/>
      <c r="D107" s="16"/>
      <c r="E107" s="26"/>
      <c r="F107" s="26"/>
      <c r="G107" s="13"/>
    </row>
    <row r="108" spans="1:23" ht="23.1" customHeight="1">
      <c r="A108" s="119" t="s">
        <v>16</v>
      </c>
      <c r="B108" s="6" t="s">
        <v>1</v>
      </c>
      <c r="C108" s="13"/>
      <c r="D108" s="10" t="s">
        <v>12</v>
      </c>
      <c r="E108" s="57">
        <v>6.87</v>
      </c>
      <c r="F108" s="58">
        <f>7.53*35</f>
        <v>263.55</v>
      </c>
      <c r="G108" s="17"/>
    </row>
    <row r="109" spans="1:23" ht="23.1" customHeight="1">
      <c r="A109" s="120"/>
      <c r="B109" s="7" t="s">
        <v>2</v>
      </c>
      <c r="C109" s="13"/>
      <c r="D109" s="11" t="s">
        <v>12</v>
      </c>
      <c r="E109" s="48">
        <v>3.61</v>
      </c>
      <c r="F109" s="49">
        <f>4.9*35</f>
        <v>171.5</v>
      </c>
      <c r="G109" s="17"/>
    </row>
    <row r="110" spans="1:23" ht="23.1" customHeight="1">
      <c r="A110" s="120"/>
      <c r="B110" s="7" t="s">
        <v>3</v>
      </c>
      <c r="C110" s="13"/>
      <c r="D110" s="11" t="s">
        <v>12</v>
      </c>
      <c r="E110" s="48">
        <v>2.14</v>
      </c>
      <c r="F110" s="49">
        <f>2.65*35</f>
        <v>92.75</v>
      </c>
      <c r="G110" s="17"/>
    </row>
    <row r="111" spans="1:23" ht="23.1" customHeight="1" thickBot="1">
      <c r="A111" s="74" t="s">
        <v>99</v>
      </c>
      <c r="B111" s="8" t="s">
        <v>4</v>
      </c>
      <c r="C111" s="13"/>
      <c r="D111" s="12" t="s">
        <v>12</v>
      </c>
      <c r="E111" s="46"/>
      <c r="F111" s="47"/>
      <c r="G111" s="17"/>
    </row>
    <row r="112" spans="1:23" ht="4.7" customHeight="1" thickBot="1">
      <c r="A112" s="14"/>
      <c r="B112" s="15"/>
      <c r="C112" s="13"/>
      <c r="D112" s="16"/>
      <c r="E112" s="26"/>
      <c r="F112" s="26"/>
      <c r="G112" s="13"/>
    </row>
    <row r="113" spans="1:7" ht="23.1" customHeight="1">
      <c r="A113" s="119" t="s">
        <v>16</v>
      </c>
      <c r="B113" s="6" t="s">
        <v>1</v>
      </c>
      <c r="C113" s="13"/>
      <c r="D113" s="10" t="s">
        <v>12</v>
      </c>
      <c r="E113" s="57">
        <v>3.94</v>
      </c>
      <c r="F113" s="58">
        <f>6.06*35</f>
        <v>212.1</v>
      </c>
      <c r="G113" s="17"/>
    </row>
    <row r="114" spans="1:7" ht="23.1" customHeight="1">
      <c r="A114" s="120"/>
      <c r="B114" s="7" t="s">
        <v>2</v>
      </c>
      <c r="C114" s="13"/>
      <c r="D114" s="11" t="s">
        <v>12</v>
      </c>
      <c r="E114" s="48">
        <v>2.0099999999999998</v>
      </c>
      <c r="F114" s="49">
        <f>2.81*35</f>
        <v>98.350000000000009</v>
      </c>
      <c r="G114" s="17"/>
    </row>
    <row r="115" spans="1:7" ht="23.1" customHeight="1">
      <c r="A115" s="120"/>
      <c r="B115" s="7" t="s">
        <v>3</v>
      </c>
      <c r="C115" s="13"/>
      <c r="D115" s="11" t="s">
        <v>12</v>
      </c>
      <c r="E115" s="48">
        <v>1.85</v>
      </c>
      <c r="F115" s="49">
        <f>1.77*35</f>
        <v>61.95</v>
      </c>
      <c r="G115" s="17"/>
    </row>
    <row r="116" spans="1:7" ht="23.1" customHeight="1" thickBot="1">
      <c r="A116" s="74" t="s">
        <v>100</v>
      </c>
      <c r="B116" s="8" t="s">
        <v>4</v>
      </c>
      <c r="C116" s="13"/>
      <c r="D116" s="12" t="s">
        <v>12</v>
      </c>
      <c r="E116" s="46"/>
      <c r="F116" s="47"/>
      <c r="G116" s="17"/>
    </row>
    <row r="117" spans="1:7" ht="4.7" customHeight="1" thickBot="1">
      <c r="A117" s="14"/>
      <c r="B117" s="15"/>
      <c r="C117" s="13"/>
      <c r="D117" s="16"/>
      <c r="E117" s="26"/>
      <c r="F117" s="26"/>
      <c r="G117" s="13"/>
    </row>
    <row r="118" spans="1:7" ht="23.1" customHeight="1">
      <c r="A118" s="115" t="s">
        <v>16</v>
      </c>
      <c r="B118" s="6" t="s">
        <v>1</v>
      </c>
      <c r="C118" s="13"/>
      <c r="D118" s="10" t="s">
        <v>12</v>
      </c>
      <c r="E118" s="44"/>
      <c r="F118" s="45"/>
      <c r="G118" s="17"/>
    </row>
    <row r="119" spans="1:7" ht="23.1" customHeight="1">
      <c r="A119" s="116"/>
      <c r="B119" s="7" t="s">
        <v>2</v>
      </c>
      <c r="C119" s="13"/>
      <c r="D119" s="11" t="s">
        <v>12</v>
      </c>
      <c r="E119" s="34"/>
      <c r="F119" s="35"/>
      <c r="G119" s="17"/>
    </row>
    <row r="120" spans="1:7" ht="23.1" customHeight="1">
      <c r="A120" s="116"/>
      <c r="B120" s="7" t="s">
        <v>3</v>
      </c>
      <c r="C120" s="13"/>
      <c r="D120" s="11" t="s">
        <v>12</v>
      </c>
      <c r="E120" s="34"/>
      <c r="F120" s="35"/>
      <c r="G120" s="17"/>
    </row>
    <row r="121" spans="1:7" ht="23.1" customHeight="1" thickBot="1">
      <c r="A121" s="75" t="s">
        <v>101</v>
      </c>
      <c r="B121" s="8" t="s">
        <v>4</v>
      </c>
      <c r="C121" s="13"/>
      <c r="D121" s="12" t="s">
        <v>12</v>
      </c>
      <c r="E121" s="46"/>
      <c r="F121" s="47"/>
      <c r="G121" s="17"/>
    </row>
    <row r="122" spans="1:7" ht="4.7" customHeight="1" thickBot="1">
      <c r="A122" s="17"/>
      <c r="B122" s="17"/>
      <c r="C122" s="13"/>
      <c r="D122" s="17"/>
      <c r="E122" s="33"/>
      <c r="F122" s="33"/>
      <c r="G122" s="17"/>
    </row>
    <row r="123" spans="1:7" ht="23.1" customHeight="1">
      <c r="A123" s="115" t="s">
        <v>16</v>
      </c>
      <c r="B123" s="6" t="s">
        <v>1</v>
      </c>
      <c r="C123" s="13"/>
      <c r="D123" s="10" t="s">
        <v>12</v>
      </c>
      <c r="E123" s="57">
        <v>3.05</v>
      </c>
      <c r="F123" s="58">
        <f>2.97*35</f>
        <v>103.95</v>
      </c>
      <c r="G123" s="17"/>
    </row>
    <row r="124" spans="1:7" ht="23.1" customHeight="1">
      <c r="A124" s="116"/>
      <c r="B124" s="7" t="s">
        <v>2</v>
      </c>
      <c r="C124" s="13"/>
      <c r="D124" s="11" t="s">
        <v>12</v>
      </c>
      <c r="E124" s="48">
        <v>4.75</v>
      </c>
      <c r="F124" s="49">
        <f>4.12*35</f>
        <v>144.20000000000002</v>
      </c>
      <c r="G124" s="17"/>
    </row>
    <row r="125" spans="1:7" ht="23.1" customHeight="1">
      <c r="A125" s="116"/>
      <c r="B125" s="7" t="s">
        <v>3</v>
      </c>
      <c r="C125" s="13"/>
      <c r="D125" s="11" t="s">
        <v>12</v>
      </c>
      <c r="E125" s="48">
        <v>1.64</v>
      </c>
      <c r="F125" s="49">
        <f>1.47*35</f>
        <v>51.449999999999996</v>
      </c>
      <c r="G125" s="17"/>
    </row>
    <row r="126" spans="1:7" ht="23.1" customHeight="1" thickBot="1">
      <c r="A126" s="75" t="s">
        <v>102</v>
      </c>
      <c r="B126" s="8" t="s">
        <v>4</v>
      </c>
      <c r="C126" s="13"/>
      <c r="D126" s="12" t="s">
        <v>12</v>
      </c>
      <c r="E126" s="46"/>
      <c r="F126" s="47"/>
      <c r="G126" s="17"/>
    </row>
    <row r="127" spans="1:7" ht="4.7" customHeight="1" thickBot="1">
      <c r="A127" s="17"/>
      <c r="B127" s="17"/>
      <c r="C127" s="13"/>
      <c r="D127" s="17"/>
      <c r="E127" s="33"/>
      <c r="F127" s="33"/>
      <c r="G127" s="17"/>
    </row>
    <row r="128" spans="1:7" ht="23.1" customHeight="1">
      <c r="A128" s="100" t="s">
        <v>16</v>
      </c>
      <c r="B128" s="6" t="s">
        <v>1</v>
      </c>
      <c r="C128" s="13"/>
      <c r="D128" s="10" t="s">
        <v>15</v>
      </c>
      <c r="E128" s="20">
        <v>3.74</v>
      </c>
      <c r="F128" s="21">
        <f>2.14*35</f>
        <v>74.900000000000006</v>
      </c>
      <c r="G128" s="17"/>
    </row>
    <row r="129" spans="1:12" ht="23.1" customHeight="1">
      <c r="A129" s="101"/>
      <c r="B129" s="7" t="s">
        <v>2</v>
      </c>
      <c r="C129" s="13"/>
      <c r="D129" s="11" t="s">
        <v>15</v>
      </c>
      <c r="E129" s="22">
        <v>1.69</v>
      </c>
      <c r="F129" s="23">
        <f>1.57*35</f>
        <v>54.95</v>
      </c>
      <c r="G129" s="17"/>
    </row>
    <row r="130" spans="1:12" ht="23.1" customHeight="1">
      <c r="A130" s="101"/>
      <c r="B130" s="7" t="s">
        <v>3</v>
      </c>
      <c r="C130" s="13"/>
      <c r="D130" s="11" t="s">
        <v>15</v>
      </c>
      <c r="E130" s="22">
        <v>3.08</v>
      </c>
      <c r="F130" s="23">
        <f>2.33*35</f>
        <v>81.55</v>
      </c>
      <c r="G130" s="17"/>
    </row>
    <row r="131" spans="1:12" ht="23.1" customHeight="1" thickBot="1">
      <c r="A131" s="42" t="s">
        <v>103</v>
      </c>
      <c r="B131" s="8" t="s">
        <v>4</v>
      </c>
      <c r="C131" s="13"/>
      <c r="D131" s="12" t="s">
        <v>15</v>
      </c>
      <c r="E131" s="46"/>
      <c r="F131" s="47"/>
      <c r="G131" s="17"/>
    </row>
    <row r="132" spans="1:12" ht="4.7" customHeight="1" thickBot="1">
      <c r="A132" s="14"/>
      <c r="B132" s="15"/>
      <c r="C132" s="13"/>
      <c r="D132" s="16"/>
      <c r="E132" s="26"/>
      <c r="F132" s="26"/>
      <c r="G132" s="13"/>
    </row>
    <row r="133" spans="1:12" ht="23.1" customHeight="1">
      <c r="A133" s="117" t="s">
        <v>16</v>
      </c>
      <c r="B133" s="6" t="s">
        <v>1</v>
      </c>
      <c r="C133" s="13"/>
      <c r="D133" s="10" t="s">
        <v>15</v>
      </c>
      <c r="E133" s="57">
        <v>5</v>
      </c>
      <c r="F133" s="58">
        <f>10.8*35</f>
        <v>378</v>
      </c>
      <c r="G133" s="17"/>
    </row>
    <row r="134" spans="1:12" ht="23.1" customHeight="1">
      <c r="A134" s="118"/>
      <c r="B134" s="7" t="s">
        <v>2</v>
      </c>
      <c r="C134" s="13"/>
      <c r="D134" s="11" t="s">
        <v>15</v>
      </c>
      <c r="E134" s="48">
        <v>3.05</v>
      </c>
      <c r="F134" s="49">
        <f>4.89*35</f>
        <v>171.14999999999998</v>
      </c>
      <c r="G134" s="17"/>
    </row>
    <row r="135" spans="1:12" ht="23.1" customHeight="1">
      <c r="A135" s="118"/>
      <c r="B135" s="7" t="s">
        <v>3</v>
      </c>
      <c r="C135" s="13"/>
      <c r="D135" s="11" t="s">
        <v>15</v>
      </c>
      <c r="E135" s="48">
        <v>2.94</v>
      </c>
      <c r="F135" s="49">
        <f>5.26*35</f>
        <v>184.1</v>
      </c>
      <c r="G135" s="17"/>
    </row>
    <row r="136" spans="1:12" ht="23.1" customHeight="1" thickBot="1">
      <c r="A136" s="43" t="s">
        <v>17</v>
      </c>
      <c r="B136" s="8" t="s">
        <v>4</v>
      </c>
      <c r="C136" s="13"/>
      <c r="D136" s="12" t="s">
        <v>15</v>
      </c>
      <c r="E136" s="46"/>
      <c r="F136" s="47"/>
      <c r="G136" s="17"/>
    </row>
    <row r="137" spans="1:12" ht="4.7" customHeight="1">
      <c r="A137" s="17"/>
      <c r="B137" s="17"/>
      <c r="C137" s="13"/>
      <c r="D137" s="17"/>
      <c r="E137" s="33"/>
      <c r="F137" s="33"/>
      <c r="G137" s="17"/>
      <c r="H137" s="82"/>
      <c r="I137" s="98"/>
      <c r="J137" s="98"/>
      <c r="K137" s="82"/>
      <c r="L137" s="82"/>
    </row>
    <row r="140" spans="1:12" ht="15">
      <c r="B140" s="18" t="s">
        <v>92</v>
      </c>
    </row>
  </sheetData>
  <mergeCells count="40">
    <mergeCell ref="T37:V37"/>
    <mergeCell ref="A118:A120"/>
    <mergeCell ref="A123:A125"/>
    <mergeCell ref="T3:V3"/>
    <mergeCell ref="H37:J37"/>
    <mergeCell ref="H71:J71"/>
    <mergeCell ref="L71:N71"/>
    <mergeCell ref="D71:F71"/>
    <mergeCell ref="P3:R3"/>
    <mergeCell ref="H3:J3"/>
    <mergeCell ref="L3:N3"/>
    <mergeCell ref="P71:R71"/>
    <mergeCell ref="P37:R37"/>
    <mergeCell ref="L37:N37"/>
    <mergeCell ref="T71:V71"/>
    <mergeCell ref="D3:F3"/>
    <mergeCell ref="A128:A130"/>
    <mergeCell ref="A133:A135"/>
    <mergeCell ref="A26:A28"/>
    <mergeCell ref="D37:F37"/>
    <mergeCell ref="A31:A33"/>
    <mergeCell ref="A94:A96"/>
    <mergeCell ref="A99:A101"/>
    <mergeCell ref="A74:A76"/>
    <mergeCell ref="A79:A81"/>
    <mergeCell ref="A84:A86"/>
    <mergeCell ref="A89:A91"/>
    <mergeCell ref="A108:A110"/>
    <mergeCell ref="A113:A115"/>
    <mergeCell ref="D105:F105"/>
    <mergeCell ref="A45:A47"/>
    <mergeCell ref="A50:A52"/>
    <mergeCell ref="A55:A57"/>
    <mergeCell ref="A60:A62"/>
    <mergeCell ref="A65:A67"/>
    <mergeCell ref="A6:A8"/>
    <mergeCell ref="A16:A18"/>
    <mergeCell ref="A11:A13"/>
    <mergeCell ref="A21:A23"/>
    <mergeCell ref="A40:A42"/>
  </mergeCells>
  <printOptions horizontalCentered="1"/>
  <pageMargins left="0.16" right="0.17" top="0.26" bottom="0.25" header="0.34" footer="0.16"/>
  <pageSetup scale="79" fitToWidth="3" orientation="landscape" horizontalDpi="300" verticalDpi="300" r:id="rId1"/>
  <rowBreaks count="3" manualBreakCount="3">
    <brk id="35" max="16383" man="1"/>
    <brk id="69" max="16383" man="1"/>
    <brk id="103" max="16383" man="1"/>
  </rowBreaks>
  <colBreaks count="2" manualBreakCount="2">
    <brk id="23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W76"/>
  <sheetViews>
    <sheetView view="pageBreakPreview" topLeftCell="A49" zoomScale="85" zoomScaleNormal="55" zoomScaleSheetLayoutView="85" workbookViewId="0">
      <selection activeCell="N62" sqref="N62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22" width="10.42578125" style="1" customWidth="1"/>
    <col min="23" max="23" width="0.85546875" style="1" customWidth="1"/>
    <col min="24" max="26" width="10.42578125" style="1" customWidth="1"/>
    <col min="27" max="27" width="0.85546875" style="1" customWidth="1"/>
    <col min="28" max="30" width="10.42578125" style="1" customWidth="1"/>
    <col min="31" max="31" width="0.85546875" style="1" customWidth="1"/>
    <col min="32" max="34" width="10.42578125" style="1" customWidth="1"/>
    <col min="35" max="35" width="0.85546875" style="1" customWidth="1"/>
    <col min="36" max="38" width="10.42578125" style="1" customWidth="1"/>
    <col min="39" max="39" width="0.85546875" style="1" customWidth="1"/>
    <col min="40" max="42" width="10.42578125" style="1" customWidth="1"/>
    <col min="43" max="43" width="0.85546875" style="1" customWidth="1"/>
    <col min="44" max="46" width="10.42578125" style="1" customWidth="1"/>
    <col min="47" max="47" width="0.85546875" style="1" customWidth="1"/>
    <col min="48" max="50" width="10.42578125" style="1" customWidth="1"/>
    <col min="51" max="51" width="0.85546875" style="1" customWidth="1"/>
    <col min="52" max="54" width="10.42578125" style="1" customWidth="1"/>
    <col min="55" max="55" width="0.85546875" style="1" customWidth="1"/>
    <col min="56" max="16384" width="9.140625" style="1"/>
  </cols>
  <sheetData>
    <row r="1" spans="1:23" ht="23.25">
      <c r="A1" s="86" t="s">
        <v>142</v>
      </c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3" ht="15" thickBot="1"/>
    <row r="3" spans="1:23" ht="15">
      <c r="B3" s="9" t="s">
        <v>9</v>
      </c>
      <c r="D3" s="105" t="s">
        <v>10</v>
      </c>
      <c r="E3" s="106"/>
      <c r="F3" s="107"/>
      <c r="H3" s="108">
        <v>40379</v>
      </c>
      <c r="I3" s="106"/>
      <c r="J3" s="107"/>
      <c r="L3" s="108">
        <v>40389</v>
      </c>
      <c r="M3" s="106"/>
      <c r="N3" s="107"/>
      <c r="P3" s="108">
        <v>40401</v>
      </c>
      <c r="Q3" s="106"/>
      <c r="R3" s="107"/>
      <c r="T3" s="108">
        <v>40410</v>
      </c>
      <c r="U3" s="106"/>
      <c r="V3" s="107"/>
    </row>
    <row r="4" spans="1:23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  <c r="T4" s="63" t="s">
        <v>6</v>
      </c>
      <c r="U4" s="61" t="s">
        <v>7</v>
      </c>
      <c r="V4" s="64" t="s">
        <v>8</v>
      </c>
    </row>
    <row r="5" spans="1:23" s="3" customFormat="1" ht="5.0999999999999996" customHeight="1" thickBot="1">
      <c r="A5" s="14"/>
      <c r="B5" s="15"/>
      <c r="C5" s="13"/>
      <c r="D5" s="16"/>
      <c r="E5" s="26"/>
      <c r="F5" s="26"/>
      <c r="G5" s="13"/>
      <c r="H5" s="16"/>
      <c r="I5" s="26"/>
      <c r="J5" s="26"/>
      <c r="K5" s="13"/>
      <c r="L5" s="16"/>
      <c r="M5" s="26"/>
      <c r="N5" s="26"/>
      <c r="O5" s="13"/>
      <c r="P5" s="16"/>
      <c r="Q5" s="26"/>
      <c r="R5" s="26"/>
      <c r="S5" s="13"/>
      <c r="T5" s="16"/>
      <c r="U5" s="26"/>
      <c r="V5" s="26"/>
      <c r="W5" s="13"/>
    </row>
    <row r="6" spans="1:23" ht="23.1" customHeight="1">
      <c r="A6" s="119" t="s">
        <v>16</v>
      </c>
      <c r="B6" s="6" t="s">
        <v>1</v>
      </c>
      <c r="C6" s="13"/>
      <c r="D6" s="10" t="s">
        <v>12</v>
      </c>
      <c r="E6" s="44"/>
      <c r="F6" s="45"/>
      <c r="G6" s="17"/>
      <c r="H6" s="10" t="s">
        <v>12</v>
      </c>
      <c r="I6" s="20">
        <v>2.95</v>
      </c>
      <c r="J6" s="21">
        <f>3.04*35</f>
        <v>106.4</v>
      </c>
      <c r="K6" s="17"/>
      <c r="L6" s="10" t="s">
        <v>12</v>
      </c>
      <c r="M6" s="20">
        <v>1.29</v>
      </c>
      <c r="N6" s="21">
        <f>2.9*35</f>
        <v>101.5</v>
      </c>
      <c r="O6" s="17"/>
      <c r="P6" s="10" t="s">
        <v>12</v>
      </c>
      <c r="Q6" s="44"/>
      <c r="R6" s="45"/>
      <c r="S6" s="17"/>
      <c r="T6" s="10" t="s">
        <v>12</v>
      </c>
      <c r="U6" s="20">
        <v>4.3600000000000003</v>
      </c>
      <c r="V6" s="21">
        <f>5.8*35</f>
        <v>203</v>
      </c>
      <c r="W6" s="17"/>
    </row>
    <row r="7" spans="1:23" ht="23.1" customHeight="1">
      <c r="A7" s="120"/>
      <c r="B7" s="7" t="s">
        <v>2</v>
      </c>
      <c r="C7" s="13"/>
      <c r="D7" s="11" t="s">
        <v>12</v>
      </c>
      <c r="E7" s="34"/>
      <c r="F7" s="35"/>
      <c r="G7" s="17"/>
      <c r="H7" s="11" t="s">
        <v>12</v>
      </c>
      <c r="I7" s="22">
        <v>5.34</v>
      </c>
      <c r="J7" s="23">
        <f>3.24*35</f>
        <v>113.4</v>
      </c>
      <c r="K7" s="17"/>
      <c r="L7" s="11" t="s">
        <v>12</v>
      </c>
      <c r="M7" s="22">
        <v>2.74</v>
      </c>
      <c r="N7" s="23">
        <f>3.74*35</f>
        <v>130.9</v>
      </c>
      <c r="O7" s="17"/>
      <c r="P7" s="11" t="s">
        <v>12</v>
      </c>
      <c r="Q7" s="34"/>
      <c r="R7" s="35"/>
      <c r="S7" s="17"/>
      <c r="T7" s="11" t="s">
        <v>12</v>
      </c>
      <c r="U7" s="22">
        <v>1.77</v>
      </c>
      <c r="V7" s="23">
        <f>2.05*35</f>
        <v>71.75</v>
      </c>
      <c r="W7" s="17"/>
    </row>
    <row r="8" spans="1:23" ht="23.1" customHeight="1">
      <c r="A8" s="120"/>
      <c r="B8" s="7" t="s">
        <v>3</v>
      </c>
      <c r="C8" s="13"/>
      <c r="D8" s="11" t="s">
        <v>12</v>
      </c>
      <c r="E8" s="34"/>
      <c r="F8" s="35"/>
      <c r="G8" s="17"/>
      <c r="H8" s="11" t="s">
        <v>12</v>
      </c>
      <c r="I8" s="22">
        <v>2.35</v>
      </c>
      <c r="J8" s="23">
        <f>4.05*35</f>
        <v>141.75</v>
      </c>
      <c r="K8" s="17"/>
      <c r="L8" s="11" t="s">
        <v>12</v>
      </c>
      <c r="M8" s="22">
        <v>4.47</v>
      </c>
      <c r="N8" s="23">
        <f>10.6*35</f>
        <v>371</v>
      </c>
      <c r="O8" s="17"/>
      <c r="P8" s="11" t="s">
        <v>12</v>
      </c>
      <c r="Q8" s="34"/>
      <c r="R8" s="35"/>
      <c r="S8" s="17"/>
      <c r="T8" s="11" t="s">
        <v>12</v>
      </c>
      <c r="U8" s="22">
        <v>1.04</v>
      </c>
      <c r="V8" s="23">
        <f>1.05*35</f>
        <v>36.75</v>
      </c>
      <c r="W8" s="17"/>
    </row>
    <row r="9" spans="1:23" ht="23.1" customHeight="1" thickBot="1">
      <c r="A9" s="40" t="s">
        <v>18</v>
      </c>
      <c r="B9" s="8" t="s">
        <v>4</v>
      </c>
      <c r="C9" s="13"/>
      <c r="D9" s="12" t="s">
        <v>12</v>
      </c>
      <c r="E9" s="46"/>
      <c r="F9" s="47"/>
      <c r="G9" s="17"/>
      <c r="H9" s="12" t="s">
        <v>12</v>
      </c>
      <c r="I9" s="24">
        <v>1.19</v>
      </c>
      <c r="J9" s="25">
        <f>1.57*35</f>
        <v>54.95</v>
      </c>
      <c r="K9" s="17"/>
      <c r="L9" s="12" t="s">
        <v>12</v>
      </c>
      <c r="M9" s="24">
        <v>1.35</v>
      </c>
      <c r="N9" s="25">
        <f>2.55*35</f>
        <v>89.25</v>
      </c>
      <c r="O9" s="17"/>
      <c r="P9" s="12" t="s">
        <v>12</v>
      </c>
      <c r="Q9" s="46"/>
      <c r="R9" s="47"/>
      <c r="S9" s="17"/>
      <c r="T9" s="12" t="s">
        <v>12</v>
      </c>
      <c r="U9" s="24">
        <v>1.05</v>
      </c>
      <c r="V9" s="25">
        <f>1.15*35</f>
        <v>40.25</v>
      </c>
      <c r="W9" s="17"/>
    </row>
    <row r="10" spans="1:23" s="3" customFormat="1" ht="5.0999999999999996" customHeight="1" thickBot="1">
      <c r="A10" s="14"/>
      <c r="B10" s="15"/>
      <c r="C10" s="13"/>
      <c r="D10" s="16"/>
      <c r="E10" s="26"/>
      <c r="F10" s="26"/>
      <c r="G10" s="13"/>
      <c r="H10" s="16"/>
      <c r="I10" s="26"/>
      <c r="J10" s="26"/>
      <c r="K10" s="13"/>
      <c r="L10" s="16"/>
      <c r="M10" s="26"/>
      <c r="N10" s="26"/>
      <c r="O10" s="13"/>
      <c r="P10" s="16"/>
      <c r="Q10" s="26"/>
      <c r="R10" s="26"/>
      <c r="S10" s="13"/>
      <c r="T10" s="16"/>
      <c r="U10" s="26"/>
      <c r="V10" s="26"/>
      <c r="W10" s="13"/>
    </row>
    <row r="11" spans="1:23" ht="23.1" customHeight="1">
      <c r="A11" s="115" t="s">
        <v>16</v>
      </c>
      <c r="B11" s="6" t="s">
        <v>1</v>
      </c>
      <c r="C11" s="13"/>
      <c r="D11" s="10" t="s">
        <v>12</v>
      </c>
      <c r="E11" s="44"/>
      <c r="F11" s="45"/>
      <c r="G11" s="17"/>
      <c r="H11" s="10" t="s">
        <v>12</v>
      </c>
      <c r="I11" s="20">
        <v>4.88</v>
      </c>
      <c r="J11" s="21">
        <f>6.93*35</f>
        <v>242.54999999999998</v>
      </c>
      <c r="K11" s="17"/>
      <c r="L11" s="10" t="s">
        <v>12</v>
      </c>
      <c r="M11" s="20">
        <v>6.02</v>
      </c>
      <c r="N11" s="21">
        <f>19.5*35</f>
        <v>682.5</v>
      </c>
      <c r="O11" s="17"/>
      <c r="P11" s="10" t="s">
        <v>12</v>
      </c>
      <c r="Q11" s="20">
        <v>4.05</v>
      </c>
      <c r="R11" s="21">
        <f>5.38*35</f>
        <v>188.29999999999998</v>
      </c>
      <c r="S11" s="17"/>
      <c r="T11" s="10" t="s">
        <v>12</v>
      </c>
      <c r="U11" s="20">
        <v>4.68</v>
      </c>
      <c r="V11" s="21">
        <f>6.06*35</f>
        <v>212.1</v>
      </c>
      <c r="W11" s="17"/>
    </row>
    <row r="12" spans="1:23" ht="23.1" customHeight="1">
      <c r="A12" s="116"/>
      <c r="B12" s="7" t="s">
        <v>2</v>
      </c>
      <c r="C12" s="13"/>
      <c r="D12" s="11" t="s">
        <v>12</v>
      </c>
      <c r="E12" s="34"/>
      <c r="F12" s="35"/>
      <c r="G12" s="17"/>
      <c r="H12" s="11" t="s">
        <v>12</v>
      </c>
      <c r="I12" s="22">
        <v>3.22</v>
      </c>
      <c r="J12" s="23">
        <f>3.38*35</f>
        <v>118.3</v>
      </c>
      <c r="K12" s="17"/>
      <c r="L12" s="11" t="s">
        <v>12</v>
      </c>
      <c r="M12" s="22">
        <v>4.63</v>
      </c>
      <c r="N12" s="23">
        <f>11.7*35</f>
        <v>409.5</v>
      </c>
      <c r="O12" s="17"/>
      <c r="P12" s="11" t="s">
        <v>12</v>
      </c>
      <c r="Q12" s="22">
        <v>1.92</v>
      </c>
      <c r="R12" s="23">
        <f>2.78*35</f>
        <v>97.3</v>
      </c>
      <c r="S12" s="17"/>
      <c r="T12" s="11" t="s">
        <v>12</v>
      </c>
      <c r="U12" s="22">
        <v>3.33</v>
      </c>
      <c r="V12" s="23">
        <f>4.48*35</f>
        <v>156.80000000000001</v>
      </c>
      <c r="W12" s="17"/>
    </row>
    <row r="13" spans="1:23" ht="23.1" customHeight="1">
      <c r="A13" s="116"/>
      <c r="B13" s="7" t="s">
        <v>3</v>
      </c>
      <c r="C13" s="13"/>
      <c r="D13" s="11" t="s">
        <v>12</v>
      </c>
      <c r="E13" s="34"/>
      <c r="F13" s="35"/>
      <c r="G13" s="17"/>
      <c r="H13" s="11" t="s">
        <v>12</v>
      </c>
      <c r="I13" s="22">
        <v>3.59</v>
      </c>
      <c r="J13" s="23">
        <f>6.26*35</f>
        <v>219.1</v>
      </c>
      <c r="K13" s="17"/>
      <c r="L13" s="11" t="s">
        <v>12</v>
      </c>
      <c r="M13" s="22">
        <v>3.67</v>
      </c>
      <c r="N13" s="23">
        <f>6.64*35</f>
        <v>232.39999999999998</v>
      </c>
      <c r="O13" s="17"/>
      <c r="P13" s="11" t="s">
        <v>12</v>
      </c>
      <c r="Q13" s="22">
        <v>1.96</v>
      </c>
      <c r="R13" s="23">
        <f>2.63*35</f>
        <v>92.05</v>
      </c>
      <c r="S13" s="17"/>
      <c r="T13" s="11" t="s">
        <v>12</v>
      </c>
      <c r="U13" s="22">
        <v>2.11</v>
      </c>
      <c r="V13" s="23">
        <f>2.71*35</f>
        <v>94.85</v>
      </c>
      <c r="W13" s="17"/>
    </row>
    <row r="14" spans="1:23" ht="23.1" customHeight="1" thickBot="1">
      <c r="A14" s="41" t="s">
        <v>19</v>
      </c>
      <c r="B14" s="8" t="s">
        <v>4</v>
      </c>
      <c r="C14" s="13"/>
      <c r="D14" s="12" t="s">
        <v>12</v>
      </c>
      <c r="E14" s="46"/>
      <c r="F14" s="47"/>
      <c r="G14" s="17"/>
      <c r="H14" s="12" t="s">
        <v>12</v>
      </c>
      <c r="I14" s="24">
        <v>1.41</v>
      </c>
      <c r="J14" s="25">
        <f>2.97*35</f>
        <v>103.95</v>
      </c>
      <c r="K14" s="17"/>
      <c r="L14" s="12" t="s">
        <v>12</v>
      </c>
      <c r="M14" s="24">
        <v>2.23</v>
      </c>
      <c r="N14" s="25">
        <f>5.52*35</f>
        <v>193.2</v>
      </c>
      <c r="O14" s="17"/>
      <c r="P14" s="12" t="s">
        <v>12</v>
      </c>
      <c r="Q14" s="24">
        <v>1.58</v>
      </c>
      <c r="R14" s="25">
        <f>2.24*35</f>
        <v>78.400000000000006</v>
      </c>
      <c r="S14" s="17"/>
      <c r="T14" s="12" t="s">
        <v>12</v>
      </c>
      <c r="U14" s="24">
        <v>1.26</v>
      </c>
      <c r="V14" s="25">
        <f>1.82*35</f>
        <v>63.7</v>
      </c>
      <c r="W14" s="17"/>
    </row>
    <row r="15" spans="1:23" ht="5.0999999999999996" customHeight="1" thickBot="1">
      <c r="A15" s="17"/>
      <c r="B15" s="17"/>
      <c r="C15" s="13"/>
      <c r="D15" s="17"/>
      <c r="E15" s="33"/>
      <c r="F15" s="33"/>
      <c r="G15" s="17"/>
      <c r="H15" s="17"/>
      <c r="I15" s="33"/>
      <c r="J15" s="33"/>
      <c r="K15" s="17"/>
      <c r="L15" s="17"/>
      <c r="M15" s="33"/>
      <c r="N15" s="33"/>
      <c r="O15" s="17"/>
      <c r="P15" s="17"/>
      <c r="Q15" s="33"/>
      <c r="R15" s="33"/>
      <c r="S15" s="17"/>
      <c r="T15" s="17"/>
      <c r="U15" s="33"/>
      <c r="V15" s="33"/>
      <c r="W15" s="17"/>
    </row>
    <row r="16" spans="1:23" ht="23.1" customHeight="1">
      <c r="A16" s="100" t="s">
        <v>16</v>
      </c>
      <c r="B16" s="6" t="s">
        <v>1</v>
      </c>
      <c r="C16" s="13"/>
      <c r="D16" s="10" t="s">
        <v>15</v>
      </c>
      <c r="E16" s="44"/>
      <c r="F16" s="45"/>
      <c r="G16" s="17"/>
      <c r="H16" s="10" t="s">
        <v>15</v>
      </c>
      <c r="I16" s="20">
        <v>4.8</v>
      </c>
      <c r="J16" s="21">
        <f>6.75*35</f>
        <v>236.25</v>
      </c>
      <c r="K16" s="17"/>
      <c r="L16" s="10" t="s">
        <v>15</v>
      </c>
      <c r="M16" s="20">
        <v>3.53</v>
      </c>
      <c r="N16" s="21">
        <f>5.42*35</f>
        <v>189.7</v>
      </c>
      <c r="O16" s="17"/>
      <c r="P16" s="10" t="s">
        <v>15</v>
      </c>
      <c r="Q16" s="20">
        <v>3.21</v>
      </c>
      <c r="R16" s="21">
        <f>5.69*35</f>
        <v>199.15</v>
      </c>
      <c r="S16" s="17"/>
      <c r="T16" s="10" t="s">
        <v>15</v>
      </c>
      <c r="U16" s="20">
        <v>4.99</v>
      </c>
      <c r="V16" s="21">
        <f>8.88*35</f>
        <v>310.8</v>
      </c>
      <c r="W16" s="17"/>
    </row>
    <row r="17" spans="1:23" ht="23.1" customHeight="1">
      <c r="A17" s="101"/>
      <c r="B17" s="7" t="s">
        <v>2</v>
      </c>
      <c r="C17" s="13"/>
      <c r="D17" s="11" t="s">
        <v>15</v>
      </c>
      <c r="E17" s="34"/>
      <c r="F17" s="35"/>
      <c r="G17" s="17"/>
      <c r="H17" s="11" t="s">
        <v>15</v>
      </c>
      <c r="I17" s="22">
        <v>3.32</v>
      </c>
      <c r="J17" s="23">
        <f>5.18*35</f>
        <v>181.29999999999998</v>
      </c>
      <c r="K17" s="17"/>
      <c r="L17" s="11" t="s">
        <v>15</v>
      </c>
      <c r="M17" s="22">
        <v>1.55</v>
      </c>
      <c r="N17" s="23">
        <f>2.13*35</f>
        <v>74.55</v>
      </c>
      <c r="O17" s="17"/>
      <c r="P17" s="11" t="s">
        <v>15</v>
      </c>
      <c r="Q17" s="48">
        <v>1.32</v>
      </c>
      <c r="R17" s="49">
        <f>1.58*35</f>
        <v>55.300000000000004</v>
      </c>
      <c r="S17" s="17"/>
      <c r="T17" s="11" t="s">
        <v>15</v>
      </c>
      <c r="U17" s="34"/>
      <c r="V17" s="35"/>
      <c r="W17" s="17"/>
    </row>
    <row r="18" spans="1:23" ht="23.1" customHeight="1">
      <c r="A18" s="101"/>
      <c r="B18" s="7" t="s">
        <v>3</v>
      </c>
      <c r="C18" s="13"/>
      <c r="D18" s="11" t="s">
        <v>15</v>
      </c>
      <c r="E18" s="34"/>
      <c r="F18" s="35"/>
      <c r="G18" s="17"/>
      <c r="H18" s="11" t="s">
        <v>15</v>
      </c>
      <c r="I18" s="22">
        <v>3.52</v>
      </c>
      <c r="J18" s="23">
        <f>4.76*35</f>
        <v>166.6</v>
      </c>
      <c r="K18" s="17"/>
      <c r="L18" s="11" t="s">
        <v>15</v>
      </c>
      <c r="M18" s="22">
        <v>1.73</v>
      </c>
      <c r="N18" s="23">
        <f>3.06*35</f>
        <v>107.10000000000001</v>
      </c>
      <c r="O18" s="17"/>
      <c r="P18" s="11" t="s">
        <v>15</v>
      </c>
      <c r="Q18" s="34"/>
      <c r="R18" s="35"/>
      <c r="S18" s="17"/>
      <c r="T18" s="11" t="s">
        <v>15</v>
      </c>
      <c r="U18" s="22">
        <v>3.95</v>
      </c>
      <c r="V18" s="23">
        <f>5.58*35</f>
        <v>195.3</v>
      </c>
      <c r="W18" s="17"/>
    </row>
    <row r="19" spans="1:23" ht="23.1" customHeight="1" thickBot="1">
      <c r="A19" s="42" t="s">
        <v>20</v>
      </c>
      <c r="B19" s="8" t="s">
        <v>4</v>
      </c>
      <c r="C19" s="13"/>
      <c r="D19" s="12" t="s">
        <v>15</v>
      </c>
      <c r="E19" s="46"/>
      <c r="F19" s="47"/>
      <c r="G19" s="17"/>
      <c r="H19" s="12" t="s">
        <v>15</v>
      </c>
      <c r="I19" s="24">
        <v>1.76</v>
      </c>
      <c r="J19" s="25">
        <f>2.11*35</f>
        <v>73.849999999999994</v>
      </c>
      <c r="K19" s="17"/>
      <c r="L19" s="12" t="s">
        <v>15</v>
      </c>
      <c r="M19" s="24">
        <v>1</v>
      </c>
      <c r="N19" s="25">
        <f>1.47*35</f>
        <v>51.449999999999996</v>
      </c>
      <c r="O19" s="17"/>
      <c r="P19" s="12" t="s">
        <v>15</v>
      </c>
      <c r="Q19" s="24">
        <v>1.2</v>
      </c>
      <c r="R19" s="25">
        <f>1.59*35</f>
        <v>55.650000000000006</v>
      </c>
      <c r="S19" s="17"/>
      <c r="T19" s="12" t="s">
        <v>15</v>
      </c>
      <c r="U19" s="24">
        <v>2.76</v>
      </c>
      <c r="V19" s="25">
        <f>4.74*35</f>
        <v>165.9</v>
      </c>
      <c r="W19" s="17"/>
    </row>
    <row r="20" spans="1:23" s="3" customFormat="1" ht="5.0999999999999996" customHeight="1" thickBot="1">
      <c r="A20" s="14"/>
      <c r="B20" s="15"/>
      <c r="C20" s="13"/>
      <c r="D20" s="16"/>
      <c r="E20" s="26"/>
      <c r="F20" s="26"/>
      <c r="G20" s="13"/>
      <c r="H20" s="16"/>
      <c r="I20" s="26"/>
      <c r="J20" s="26"/>
      <c r="K20" s="13"/>
      <c r="L20" s="16"/>
      <c r="M20" s="26"/>
      <c r="N20" s="26"/>
      <c r="O20" s="13"/>
      <c r="P20" s="16"/>
      <c r="Q20" s="26"/>
      <c r="R20" s="26"/>
      <c r="S20" s="13"/>
      <c r="T20" s="16"/>
      <c r="U20" s="26"/>
      <c r="V20" s="26"/>
      <c r="W20" s="13"/>
    </row>
    <row r="21" spans="1:23" ht="23.1" customHeight="1">
      <c r="A21" s="117" t="s">
        <v>16</v>
      </c>
      <c r="B21" s="6" t="s">
        <v>1</v>
      </c>
      <c r="C21" s="13"/>
      <c r="D21" s="10" t="s">
        <v>15</v>
      </c>
      <c r="E21" s="44"/>
      <c r="F21" s="45"/>
      <c r="G21" s="17"/>
      <c r="H21" s="10" t="s">
        <v>15</v>
      </c>
      <c r="I21" s="20">
        <v>2.19</v>
      </c>
      <c r="J21" s="21">
        <f>1.25*35</f>
        <v>43.75</v>
      </c>
      <c r="K21" s="17"/>
      <c r="L21" s="10" t="s">
        <v>15</v>
      </c>
      <c r="M21" s="20">
        <v>4.68</v>
      </c>
      <c r="N21" s="21">
        <f>6*35</f>
        <v>210</v>
      </c>
      <c r="O21" s="17"/>
      <c r="P21" s="10" t="s">
        <v>15</v>
      </c>
      <c r="Q21" s="20">
        <v>1.47</v>
      </c>
      <c r="R21" s="21">
        <f>1.89*35</f>
        <v>66.149999999999991</v>
      </c>
      <c r="S21" s="17"/>
      <c r="T21" s="10" t="s">
        <v>15</v>
      </c>
      <c r="U21" s="20">
        <v>5.04</v>
      </c>
      <c r="V21" s="21">
        <f>8.64*35</f>
        <v>302.40000000000003</v>
      </c>
      <c r="W21" s="17"/>
    </row>
    <row r="22" spans="1:23" ht="23.1" customHeight="1">
      <c r="A22" s="118"/>
      <c r="B22" s="7" t="s">
        <v>2</v>
      </c>
      <c r="C22" s="13"/>
      <c r="D22" s="11" t="s">
        <v>15</v>
      </c>
      <c r="E22" s="34"/>
      <c r="F22" s="35"/>
      <c r="G22" s="17"/>
      <c r="H22" s="11" t="s">
        <v>15</v>
      </c>
      <c r="I22" s="22">
        <v>1.33</v>
      </c>
      <c r="J22" s="23">
        <f>2.01*35</f>
        <v>70.349999999999994</v>
      </c>
      <c r="K22" s="17"/>
      <c r="L22" s="11" t="s">
        <v>15</v>
      </c>
      <c r="M22" s="22">
        <v>3.08</v>
      </c>
      <c r="N22" s="23">
        <f>6.24*35</f>
        <v>218.4</v>
      </c>
      <c r="O22" s="17"/>
      <c r="P22" s="11" t="s">
        <v>15</v>
      </c>
      <c r="Q22" s="22">
        <v>1.0900000000000001</v>
      </c>
      <c r="R22" s="23">
        <f>1.38*35</f>
        <v>48.3</v>
      </c>
      <c r="S22" s="17"/>
      <c r="T22" s="11" t="s">
        <v>15</v>
      </c>
      <c r="U22" s="22">
        <v>1.21</v>
      </c>
      <c r="V22" s="23">
        <f>1.63*35</f>
        <v>57.05</v>
      </c>
      <c r="W22" s="17"/>
    </row>
    <row r="23" spans="1:23" ht="23.1" customHeight="1">
      <c r="A23" s="118"/>
      <c r="B23" s="7" t="s">
        <v>3</v>
      </c>
      <c r="C23" s="13"/>
      <c r="D23" s="11" t="s">
        <v>15</v>
      </c>
      <c r="E23" s="34"/>
      <c r="F23" s="35"/>
      <c r="G23" s="17"/>
      <c r="H23" s="11" t="s">
        <v>15</v>
      </c>
      <c r="I23" s="22">
        <v>1.67</v>
      </c>
      <c r="J23" s="23">
        <f>2.18*35</f>
        <v>76.300000000000011</v>
      </c>
      <c r="K23" s="17"/>
      <c r="L23" s="11" t="s">
        <v>15</v>
      </c>
      <c r="M23" s="22">
        <v>1.2</v>
      </c>
      <c r="N23" s="23">
        <f>2.23*35</f>
        <v>78.05</v>
      </c>
      <c r="O23" s="17"/>
      <c r="P23" s="11" t="s">
        <v>15</v>
      </c>
      <c r="Q23" s="22">
        <v>1.2</v>
      </c>
      <c r="R23" s="23">
        <f>1.51*35</f>
        <v>52.85</v>
      </c>
      <c r="S23" s="17"/>
      <c r="T23" s="11" t="s">
        <v>15</v>
      </c>
      <c r="U23" s="22">
        <v>1.86</v>
      </c>
      <c r="V23" s="23">
        <f>2.73*35</f>
        <v>95.55</v>
      </c>
      <c r="W23" s="17"/>
    </row>
    <row r="24" spans="1:23" ht="23.1" customHeight="1" thickBot="1">
      <c r="A24" s="43" t="s">
        <v>21</v>
      </c>
      <c r="B24" s="8" t="s">
        <v>4</v>
      </c>
      <c r="C24" s="13"/>
      <c r="D24" s="12" t="s">
        <v>15</v>
      </c>
      <c r="E24" s="46"/>
      <c r="F24" s="47"/>
      <c r="G24" s="17"/>
      <c r="H24" s="12" t="s">
        <v>15</v>
      </c>
      <c r="I24" s="24">
        <v>1.19</v>
      </c>
      <c r="J24" s="25">
        <f>2.5*35</f>
        <v>87.5</v>
      </c>
      <c r="K24" s="17"/>
      <c r="L24" s="12" t="s">
        <v>15</v>
      </c>
      <c r="M24" s="24">
        <v>1.02</v>
      </c>
      <c r="N24" s="25">
        <f>1.53*35</f>
        <v>53.550000000000004</v>
      </c>
      <c r="O24" s="17"/>
      <c r="P24" s="12" t="s">
        <v>15</v>
      </c>
      <c r="Q24" s="24">
        <v>1.17</v>
      </c>
      <c r="R24" s="25">
        <f>1.47*35</f>
        <v>51.449999999999996</v>
      </c>
      <c r="S24" s="17"/>
      <c r="T24" s="12" t="s">
        <v>15</v>
      </c>
      <c r="U24" s="24">
        <v>1.32</v>
      </c>
      <c r="V24" s="25">
        <f>1.81*35</f>
        <v>63.35</v>
      </c>
      <c r="W24" s="17"/>
    </row>
    <row r="25" spans="1:23" ht="5.0999999999999996" customHeight="1">
      <c r="A25" s="17"/>
      <c r="B25" s="17"/>
      <c r="C25" s="1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5" thickBot="1"/>
    <row r="27" spans="1:23" ht="15">
      <c r="B27" s="9" t="s">
        <v>9</v>
      </c>
      <c r="D27" s="108">
        <v>40422</v>
      </c>
      <c r="E27" s="106"/>
      <c r="F27" s="107"/>
      <c r="H27" s="108">
        <v>40431</v>
      </c>
      <c r="I27" s="106"/>
      <c r="J27" s="107"/>
      <c r="L27" s="108">
        <v>40438</v>
      </c>
      <c r="M27" s="106"/>
      <c r="N27" s="107"/>
      <c r="P27" s="108">
        <v>40549</v>
      </c>
      <c r="Q27" s="106"/>
      <c r="R27" s="107"/>
      <c r="T27" s="108">
        <v>40566</v>
      </c>
      <c r="U27" s="106"/>
      <c r="V27" s="107"/>
    </row>
    <row r="28" spans="1:23" ht="45.75" thickBot="1">
      <c r="A28" s="2"/>
      <c r="B28" s="2"/>
      <c r="C28" s="4"/>
      <c r="D28" s="63" t="s">
        <v>6</v>
      </c>
      <c r="E28" s="61" t="s">
        <v>7</v>
      </c>
      <c r="F28" s="64" t="s">
        <v>8</v>
      </c>
      <c r="G28" s="2"/>
      <c r="H28" s="63" t="s">
        <v>6</v>
      </c>
      <c r="I28" s="61" t="s">
        <v>7</v>
      </c>
      <c r="J28" s="64" t="s">
        <v>8</v>
      </c>
      <c r="K28" s="2"/>
      <c r="L28" s="63" t="s">
        <v>6</v>
      </c>
      <c r="M28" s="61" t="s">
        <v>7</v>
      </c>
      <c r="N28" s="64" t="s">
        <v>8</v>
      </c>
      <c r="O28" s="2"/>
      <c r="P28" s="63" t="s">
        <v>6</v>
      </c>
      <c r="Q28" s="61" t="s">
        <v>7</v>
      </c>
      <c r="R28" s="64" t="s">
        <v>8</v>
      </c>
      <c r="S28" s="2"/>
      <c r="T28" s="63" t="s">
        <v>6</v>
      </c>
      <c r="U28" s="61" t="s">
        <v>7</v>
      </c>
      <c r="V28" s="64" t="s">
        <v>8</v>
      </c>
      <c r="W28" s="2"/>
    </row>
    <row r="29" spans="1:23" ht="4.5" customHeight="1" thickBot="1">
      <c r="A29" s="14"/>
      <c r="B29" s="15"/>
      <c r="C29" s="13"/>
      <c r="D29" s="16"/>
      <c r="E29" s="26"/>
      <c r="F29" s="26"/>
      <c r="G29" s="13"/>
      <c r="H29" s="16"/>
      <c r="I29" s="26"/>
      <c r="J29" s="26"/>
      <c r="K29" s="13"/>
      <c r="L29" s="16"/>
      <c r="M29" s="26"/>
      <c r="N29" s="26"/>
      <c r="O29" s="13"/>
      <c r="P29" s="16"/>
      <c r="Q29" s="26"/>
      <c r="R29" s="26"/>
      <c r="S29" s="13"/>
      <c r="T29" s="16"/>
      <c r="U29" s="26"/>
      <c r="V29" s="26"/>
      <c r="W29" s="13"/>
    </row>
    <row r="30" spans="1:23" ht="23.1" customHeight="1">
      <c r="A30" s="119" t="s">
        <v>16</v>
      </c>
      <c r="B30" s="6" t="s">
        <v>1</v>
      </c>
      <c r="C30" s="13"/>
      <c r="D30" s="10" t="s">
        <v>12</v>
      </c>
      <c r="E30" s="57">
        <v>2.5099999999999998</v>
      </c>
      <c r="F30" s="58">
        <f>4.38*35</f>
        <v>153.29999999999998</v>
      </c>
      <c r="G30" s="17"/>
      <c r="H30" s="10" t="s">
        <v>12</v>
      </c>
      <c r="I30" s="44"/>
      <c r="J30" s="45"/>
      <c r="K30" s="17"/>
      <c r="L30" s="10" t="s">
        <v>12</v>
      </c>
      <c r="M30" s="44"/>
      <c r="N30" s="45"/>
      <c r="O30" s="17"/>
      <c r="P30" s="10" t="s">
        <v>12</v>
      </c>
      <c r="Q30" s="57">
        <v>4.25</v>
      </c>
      <c r="R30" s="58">
        <f>2.79*35</f>
        <v>97.65</v>
      </c>
      <c r="S30" s="17"/>
      <c r="T30" s="10" t="s">
        <v>12</v>
      </c>
      <c r="U30" s="57">
        <v>7.34</v>
      </c>
      <c r="V30" s="58">
        <f>13.8*35</f>
        <v>483</v>
      </c>
      <c r="W30" s="17"/>
    </row>
    <row r="31" spans="1:23" ht="23.1" customHeight="1">
      <c r="A31" s="120"/>
      <c r="B31" s="7" t="s">
        <v>2</v>
      </c>
      <c r="C31" s="13"/>
      <c r="D31" s="11" t="s">
        <v>12</v>
      </c>
      <c r="E31" s="48">
        <v>2.39</v>
      </c>
      <c r="F31" s="49">
        <f>4.23*35</f>
        <v>148.05000000000001</v>
      </c>
      <c r="G31" s="17"/>
      <c r="H31" s="11" t="s">
        <v>12</v>
      </c>
      <c r="I31" s="34"/>
      <c r="J31" s="35"/>
      <c r="K31" s="17"/>
      <c r="L31" s="11" t="s">
        <v>12</v>
      </c>
      <c r="M31" s="34"/>
      <c r="N31" s="35"/>
      <c r="O31" s="17"/>
      <c r="P31" s="11" t="s">
        <v>12</v>
      </c>
      <c r="Q31" s="48">
        <v>3.62</v>
      </c>
      <c r="R31" s="49">
        <f>1.7*35</f>
        <v>59.5</v>
      </c>
      <c r="S31" s="17"/>
      <c r="T31" s="11" t="s">
        <v>12</v>
      </c>
      <c r="U31" s="48">
        <v>11.2</v>
      </c>
      <c r="V31" s="49">
        <f>6.41*35</f>
        <v>224.35</v>
      </c>
      <c r="W31" s="17"/>
    </row>
    <row r="32" spans="1:23" ht="23.1" customHeight="1">
      <c r="A32" s="120"/>
      <c r="B32" s="7" t="s">
        <v>3</v>
      </c>
      <c r="C32" s="13"/>
      <c r="D32" s="11" t="s">
        <v>12</v>
      </c>
      <c r="E32" s="48">
        <v>1.37</v>
      </c>
      <c r="F32" s="49">
        <f>2.86*35</f>
        <v>100.1</v>
      </c>
      <c r="G32" s="17"/>
      <c r="H32" s="11" t="s">
        <v>12</v>
      </c>
      <c r="I32" s="34"/>
      <c r="J32" s="35"/>
      <c r="K32" s="17"/>
      <c r="L32" s="11" t="s">
        <v>12</v>
      </c>
      <c r="M32" s="34"/>
      <c r="N32" s="35"/>
      <c r="O32" s="17"/>
      <c r="P32" s="11" t="s">
        <v>12</v>
      </c>
      <c r="Q32" s="48">
        <v>1.34</v>
      </c>
      <c r="R32" s="49">
        <f>0.87*35</f>
        <v>30.45</v>
      </c>
      <c r="S32" s="17"/>
      <c r="T32" s="11" t="s">
        <v>12</v>
      </c>
      <c r="U32" s="48">
        <v>4.1100000000000003</v>
      </c>
      <c r="V32" s="49">
        <f>2.7*35</f>
        <v>94.5</v>
      </c>
      <c r="W32" s="17"/>
    </row>
    <row r="33" spans="1:23" ht="23.1" customHeight="1" thickBot="1">
      <c r="A33" s="40" t="s">
        <v>18</v>
      </c>
      <c r="B33" s="8" t="s">
        <v>4</v>
      </c>
      <c r="C33" s="13"/>
      <c r="D33" s="12" t="s">
        <v>12</v>
      </c>
      <c r="E33" s="59">
        <v>1.43</v>
      </c>
      <c r="F33" s="60">
        <f>2.31*35</f>
        <v>80.850000000000009</v>
      </c>
      <c r="G33" s="17"/>
      <c r="H33" s="12" t="s">
        <v>12</v>
      </c>
      <c r="I33" s="46"/>
      <c r="J33" s="47"/>
      <c r="K33" s="17"/>
      <c r="L33" s="12" t="s">
        <v>12</v>
      </c>
      <c r="M33" s="46"/>
      <c r="N33" s="47"/>
      <c r="O33" s="17"/>
      <c r="P33" s="12" t="s">
        <v>12</v>
      </c>
      <c r="Q33" s="46"/>
      <c r="R33" s="47"/>
      <c r="S33" s="17"/>
      <c r="T33" s="12" t="s">
        <v>12</v>
      </c>
      <c r="U33" s="59">
        <v>2.2400000000000002</v>
      </c>
      <c r="V33" s="60">
        <f>1.78*35</f>
        <v>62.300000000000004</v>
      </c>
      <c r="W33" s="17"/>
    </row>
    <row r="34" spans="1:23" ht="4.5" customHeight="1" thickBot="1">
      <c r="A34" s="14"/>
      <c r="B34" s="15"/>
      <c r="C34" s="13"/>
      <c r="D34" s="16"/>
      <c r="E34" s="26"/>
      <c r="F34" s="26"/>
      <c r="G34" s="13"/>
      <c r="H34" s="16"/>
      <c r="I34" s="26"/>
      <c r="J34" s="26"/>
      <c r="K34" s="13"/>
      <c r="L34" s="16"/>
      <c r="M34" s="26"/>
      <c r="N34" s="26"/>
      <c r="O34" s="13"/>
      <c r="P34" s="16"/>
      <c r="Q34" s="26"/>
      <c r="R34" s="26"/>
      <c r="S34" s="13"/>
      <c r="T34" s="16"/>
      <c r="U34" s="26"/>
      <c r="V34" s="26"/>
      <c r="W34" s="13"/>
    </row>
    <row r="35" spans="1:23" ht="23.1" customHeight="1">
      <c r="A35" s="115" t="s">
        <v>16</v>
      </c>
      <c r="B35" s="6" t="s">
        <v>1</v>
      </c>
      <c r="C35" s="13"/>
      <c r="D35" s="10" t="s">
        <v>12</v>
      </c>
      <c r="E35" s="20">
        <v>2.48</v>
      </c>
      <c r="F35" s="21">
        <f>4.87*35</f>
        <v>170.45000000000002</v>
      </c>
      <c r="G35" s="17"/>
      <c r="H35" s="10" t="s">
        <v>12</v>
      </c>
      <c r="I35" s="44"/>
      <c r="J35" s="45"/>
      <c r="K35" s="17"/>
      <c r="L35" s="10" t="s">
        <v>12</v>
      </c>
      <c r="M35" s="44"/>
      <c r="N35" s="45"/>
      <c r="O35" s="17"/>
      <c r="P35" s="10" t="s">
        <v>12</v>
      </c>
      <c r="Q35" s="57">
        <v>7.09</v>
      </c>
      <c r="R35" s="58">
        <f>14.7*35</f>
        <v>514.5</v>
      </c>
      <c r="S35" s="17"/>
      <c r="T35" s="10" t="s">
        <v>12</v>
      </c>
      <c r="U35" s="57">
        <v>5.56</v>
      </c>
      <c r="V35" s="58">
        <f>8.68*35</f>
        <v>303.8</v>
      </c>
      <c r="W35" s="17"/>
    </row>
    <row r="36" spans="1:23" ht="23.1" customHeight="1">
      <c r="A36" s="116"/>
      <c r="B36" s="7" t="s">
        <v>2</v>
      </c>
      <c r="C36" s="13"/>
      <c r="D36" s="11" t="s">
        <v>12</v>
      </c>
      <c r="E36" s="22">
        <v>1.18</v>
      </c>
      <c r="F36" s="23">
        <f>1.74*35</f>
        <v>60.9</v>
      </c>
      <c r="G36" s="17"/>
      <c r="H36" s="11" t="s">
        <v>12</v>
      </c>
      <c r="I36" s="34"/>
      <c r="J36" s="35"/>
      <c r="K36" s="17"/>
      <c r="L36" s="11" t="s">
        <v>12</v>
      </c>
      <c r="M36" s="34"/>
      <c r="N36" s="35"/>
      <c r="O36" s="17"/>
      <c r="P36" s="11" t="s">
        <v>12</v>
      </c>
      <c r="Q36" s="48">
        <v>4.72</v>
      </c>
      <c r="R36" s="49">
        <f>3.24*35</f>
        <v>113.4</v>
      </c>
      <c r="S36" s="17"/>
      <c r="T36" s="11" t="s">
        <v>12</v>
      </c>
      <c r="U36" s="48">
        <v>5.76</v>
      </c>
      <c r="V36" s="49">
        <f>9.95*35</f>
        <v>348.25</v>
      </c>
      <c r="W36" s="17"/>
    </row>
    <row r="37" spans="1:23" ht="23.1" customHeight="1">
      <c r="A37" s="116"/>
      <c r="B37" s="7" t="s">
        <v>3</v>
      </c>
      <c r="C37" s="13"/>
      <c r="D37" s="11" t="s">
        <v>12</v>
      </c>
      <c r="E37" s="22">
        <v>1.1599999999999999</v>
      </c>
      <c r="F37" s="23">
        <f>1.67*35</f>
        <v>58.449999999999996</v>
      </c>
      <c r="G37" s="17"/>
      <c r="H37" s="11" t="s">
        <v>12</v>
      </c>
      <c r="I37" s="34"/>
      <c r="J37" s="35"/>
      <c r="K37" s="17"/>
      <c r="L37" s="11" t="s">
        <v>12</v>
      </c>
      <c r="M37" s="34"/>
      <c r="N37" s="35"/>
      <c r="O37" s="17"/>
      <c r="P37" s="11" t="s">
        <v>12</v>
      </c>
      <c r="Q37" s="48">
        <v>3.68</v>
      </c>
      <c r="R37" s="49">
        <f>0.97*35</f>
        <v>33.949999999999996</v>
      </c>
      <c r="S37" s="17"/>
      <c r="T37" s="11" t="s">
        <v>12</v>
      </c>
      <c r="U37" s="48">
        <v>4.63</v>
      </c>
      <c r="V37" s="49">
        <f>8.79*35</f>
        <v>307.64999999999998</v>
      </c>
      <c r="W37" s="17"/>
    </row>
    <row r="38" spans="1:23" ht="23.1" customHeight="1" thickBot="1">
      <c r="A38" s="41" t="s">
        <v>19</v>
      </c>
      <c r="B38" s="8" t="s">
        <v>4</v>
      </c>
      <c r="C38" s="13"/>
      <c r="D38" s="12" t="s">
        <v>12</v>
      </c>
      <c r="E38" s="24">
        <v>1.25</v>
      </c>
      <c r="F38" s="25">
        <f>1.94*35</f>
        <v>67.899999999999991</v>
      </c>
      <c r="G38" s="17"/>
      <c r="H38" s="12" t="s">
        <v>12</v>
      </c>
      <c r="I38" s="46"/>
      <c r="J38" s="47"/>
      <c r="K38" s="17"/>
      <c r="L38" s="12" t="s">
        <v>12</v>
      </c>
      <c r="M38" s="46"/>
      <c r="N38" s="47"/>
      <c r="O38" s="17"/>
      <c r="P38" s="12" t="s">
        <v>12</v>
      </c>
      <c r="Q38" s="46"/>
      <c r="R38" s="47"/>
      <c r="S38" s="17"/>
      <c r="T38" s="12" t="s">
        <v>12</v>
      </c>
      <c r="U38" s="59">
        <v>2.4</v>
      </c>
      <c r="V38" s="60">
        <f>3.11*35</f>
        <v>108.85</v>
      </c>
      <c r="W38" s="17"/>
    </row>
    <row r="39" spans="1:23" ht="4.5" customHeight="1" thickBot="1">
      <c r="A39" s="17"/>
      <c r="B39" s="17"/>
      <c r="C39" s="13"/>
      <c r="D39" s="17"/>
      <c r="E39" s="33"/>
      <c r="F39" s="33"/>
      <c r="G39" s="17"/>
      <c r="H39" s="17"/>
      <c r="I39" s="33"/>
      <c r="J39" s="33"/>
      <c r="K39" s="17"/>
      <c r="L39" s="17"/>
      <c r="M39" s="33"/>
      <c r="N39" s="33"/>
      <c r="O39" s="17"/>
      <c r="P39" s="17"/>
      <c r="Q39" s="33"/>
      <c r="R39" s="33"/>
      <c r="S39" s="17"/>
      <c r="T39" s="17"/>
      <c r="U39" s="33"/>
      <c r="V39" s="33"/>
      <c r="W39" s="17"/>
    </row>
    <row r="40" spans="1:23" ht="23.1" customHeight="1">
      <c r="A40" s="100" t="s">
        <v>16</v>
      </c>
      <c r="B40" s="6" t="s">
        <v>1</v>
      </c>
      <c r="C40" s="13"/>
      <c r="D40" s="10" t="s">
        <v>15</v>
      </c>
      <c r="E40" s="20">
        <v>2.73</v>
      </c>
      <c r="F40" s="21">
        <f>5.07*35</f>
        <v>177.45000000000002</v>
      </c>
      <c r="G40" s="17"/>
      <c r="H40" s="10" t="s">
        <v>15</v>
      </c>
      <c r="I40" s="20">
        <v>3.08</v>
      </c>
      <c r="J40" s="21">
        <f>7.02*35</f>
        <v>245.7</v>
      </c>
      <c r="K40" s="17"/>
      <c r="L40" s="10" t="s">
        <v>15</v>
      </c>
      <c r="M40" s="20">
        <v>1.4</v>
      </c>
      <c r="N40" s="21">
        <f>1.04*35</f>
        <v>36.4</v>
      </c>
      <c r="O40" s="17"/>
      <c r="P40" s="10" t="s">
        <v>15</v>
      </c>
      <c r="Q40" s="44"/>
      <c r="R40" s="45"/>
      <c r="S40" s="17"/>
      <c r="T40" s="10" t="s">
        <v>15</v>
      </c>
      <c r="U40" s="44"/>
      <c r="V40" s="45"/>
      <c r="W40" s="17"/>
    </row>
    <row r="41" spans="1:23" ht="23.1" customHeight="1">
      <c r="A41" s="101"/>
      <c r="B41" s="7" t="s">
        <v>2</v>
      </c>
      <c r="C41" s="13"/>
      <c r="D41" s="11" t="s">
        <v>15</v>
      </c>
      <c r="E41" s="48">
        <v>3.06</v>
      </c>
      <c r="F41" s="49">
        <f>6.07*35</f>
        <v>212.45000000000002</v>
      </c>
      <c r="G41" s="17"/>
      <c r="H41" s="11" t="s">
        <v>15</v>
      </c>
      <c r="I41" s="48">
        <v>2.0699999999999998</v>
      </c>
      <c r="J41" s="49">
        <f>3.48*35</f>
        <v>121.8</v>
      </c>
      <c r="K41" s="17"/>
      <c r="L41" s="11" t="s">
        <v>15</v>
      </c>
      <c r="M41" s="48">
        <v>1.51</v>
      </c>
      <c r="N41" s="49">
        <f>2.72*35</f>
        <v>95.2</v>
      </c>
      <c r="O41" s="17"/>
      <c r="P41" s="11" t="s">
        <v>15</v>
      </c>
      <c r="Q41" s="34"/>
      <c r="R41" s="35"/>
      <c r="S41" s="17"/>
      <c r="T41" s="11" t="s">
        <v>15</v>
      </c>
      <c r="U41" s="34"/>
      <c r="V41" s="35"/>
      <c r="W41" s="17"/>
    </row>
    <row r="42" spans="1:23" ht="23.1" customHeight="1">
      <c r="A42" s="101"/>
      <c r="B42" s="7" t="s">
        <v>3</v>
      </c>
      <c r="C42" s="13"/>
      <c r="D42" s="11" t="s">
        <v>15</v>
      </c>
      <c r="E42" s="22">
        <v>2.97</v>
      </c>
      <c r="F42" s="23">
        <f>7.2*35</f>
        <v>252</v>
      </c>
      <c r="G42" s="17"/>
      <c r="H42" s="11" t="s">
        <v>15</v>
      </c>
      <c r="I42" s="22">
        <v>2.48</v>
      </c>
      <c r="J42" s="23">
        <f>2.53*35</f>
        <v>88.55</v>
      </c>
      <c r="K42" s="17"/>
      <c r="L42" s="11" t="s">
        <v>15</v>
      </c>
      <c r="M42" s="22">
        <v>1.67</v>
      </c>
      <c r="N42" s="23">
        <f>2.21*35</f>
        <v>77.349999999999994</v>
      </c>
      <c r="O42" s="17"/>
      <c r="P42" s="11" t="s">
        <v>15</v>
      </c>
      <c r="Q42" s="34"/>
      <c r="R42" s="35"/>
      <c r="S42" s="17"/>
      <c r="T42" s="11" t="s">
        <v>15</v>
      </c>
      <c r="U42" s="34"/>
      <c r="V42" s="35"/>
      <c r="W42" s="17"/>
    </row>
    <row r="43" spans="1:23" ht="23.1" customHeight="1" thickBot="1">
      <c r="A43" s="42" t="s">
        <v>20</v>
      </c>
      <c r="B43" s="8" t="s">
        <v>4</v>
      </c>
      <c r="C43" s="13"/>
      <c r="D43" s="12" t="s">
        <v>15</v>
      </c>
      <c r="E43" s="24">
        <v>2.17</v>
      </c>
      <c r="F43" s="25">
        <f>4.78*35</f>
        <v>167.3</v>
      </c>
      <c r="G43" s="17"/>
      <c r="H43" s="12" t="s">
        <v>15</v>
      </c>
      <c r="I43" s="24">
        <v>1.48</v>
      </c>
      <c r="J43" s="25">
        <f>2.5*35</f>
        <v>87.5</v>
      </c>
      <c r="K43" s="17"/>
      <c r="L43" s="12" t="s">
        <v>15</v>
      </c>
      <c r="M43" s="24">
        <v>1.54</v>
      </c>
      <c r="N43" s="25">
        <f>2.3*35</f>
        <v>80.5</v>
      </c>
      <c r="O43" s="17"/>
      <c r="P43" s="12" t="s">
        <v>15</v>
      </c>
      <c r="Q43" s="46"/>
      <c r="R43" s="47"/>
      <c r="S43" s="17"/>
      <c r="T43" s="12" t="s">
        <v>15</v>
      </c>
      <c r="U43" s="46"/>
      <c r="V43" s="47"/>
      <c r="W43" s="17"/>
    </row>
    <row r="44" spans="1:23" ht="4.5" customHeight="1" thickBot="1">
      <c r="A44" s="14"/>
      <c r="B44" s="15"/>
      <c r="C44" s="13"/>
      <c r="D44" s="16"/>
      <c r="E44" s="26"/>
      <c r="F44" s="26"/>
      <c r="G44" s="13"/>
      <c r="H44" s="16"/>
      <c r="I44" s="26"/>
      <c r="J44" s="26"/>
      <c r="K44" s="13"/>
      <c r="L44" s="16"/>
      <c r="M44" s="26"/>
      <c r="N44" s="26"/>
      <c r="O44" s="13"/>
      <c r="P44" s="16"/>
      <c r="Q44" s="26"/>
      <c r="R44" s="26"/>
      <c r="S44" s="13"/>
      <c r="T44" s="16"/>
      <c r="U44" s="26"/>
      <c r="V44" s="26"/>
      <c r="W44" s="13"/>
    </row>
    <row r="45" spans="1:23" ht="23.1" customHeight="1">
      <c r="A45" s="117" t="s">
        <v>16</v>
      </c>
      <c r="B45" s="6" t="s">
        <v>1</v>
      </c>
      <c r="C45" s="13"/>
      <c r="D45" s="10" t="s">
        <v>15</v>
      </c>
      <c r="E45" s="20">
        <v>2.46</v>
      </c>
      <c r="F45" s="21">
        <f>4.9*35</f>
        <v>171.5</v>
      </c>
      <c r="G45" s="17"/>
      <c r="H45" s="10" t="s">
        <v>15</v>
      </c>
      <c r="I45" s="20">
        <v>1.1399999999999999</v>
      </c>
      <c r="J45" s="21">
        <f>0.95*35</f>
        <v>33.25</v>
      </c>
      <c r="K45" s="17"/>
      <c r="L45" s="10" t="s">
        <v>15</v>
      </c>
      <c r="M45" s="20">
        <v>1.57</v>
      </c>
      <c r="N45" s="21">
        <f>1.66*35</f>
        <v>58.099999999999994</v>
      </c>
      <c r="O45" s="17"/>
      <c r="P45" s="10" t="s">
        <v>15</v>
      </c>
      <c r="Q45" s="44"/>
      <c r="R45" s="45"/>
      <c r="S45" s="17"/>
      <c r="T45" s="10" t="s">
        <v>15</v>
      </c>
      <c r="U45" s="44"/>
      <c r="V45" s="45"/>
      <c r="W45" s="17"/>
    </row>
    <row r="46" spans="1:23" ht="23.1" customHeight="1">
      <c r="A46" s="118"/>
      <c r="B46" s="7" t="s">
        <v>2</v>
      </c>
      <c r="C46" s="13"/>
      <c r="D46" s="11" t="s">
        <v>15</v>
      </c>
      <c r="E46" s="22">
        <v>2.33</v>
      </c>
      <c r="F46" s="23">
        <f>4.18*35</f>
        <v>146.29999999999998</v>
      </c>
      <c r="G46" s="17"/>
      <c r="H46" s="11" t="s">
        <v>15</v>
      </c>
      <c r="I46" s="22">
        <v>1.27</v>
      </c>
      <c r="J46" s="23">
        <f>0.99*35</f>
        <v>34.65</v>
      </c>
      <c r="K46" s="17"/>
      <c r="L46" s="11" t="s">
        <v>15</v>
      </c>
      <c r="M46" s="22">
        <v>6.7</v>
      </c>
      <c r="N46" s="23">
        <f>1.26*35</f>
        <v>44.1</v>
      </c>
      <c r="O46" s="17"/>
      <c r="P46" s="11" t="s">
        <v>15</v>
      </c>
      <c r="Q46" s="34"/>
      <c r="R46" s="35"/>
      <c r="S46" s="17"/>
      <c r="T46" s="11" t="s">
        <v>15</v>
      </c>
      <c r="U46" s="34"/>
      <c r="V46" s="35"/>
      <c r="W46" s="17"/>
    </row>
    <row r="47" spans="1:23" ht="23.1" customHeight="1">
      <c r="A47" s="118"/>
      <c r="B47" s="7" t="s">
        <v>3</v>
      </c>
      <c r="C47" s="13"/>
      <c r="D47" s="11" t="s">
        <v>15</v>
      </c>
      <c r="E47" s="22">
        <v>2.64</v>
      </c>
      <c r="F47" s="23">
        <f>4.79*35</f>
        <v>167.65</v>
      </c>
      <c r="G47" s="17"/>
      <c r="H47" s="11" t="s">
        <v>15</v>
      </c>
      <c r="I47" s="22">
        <v>1.82</v>
      </c>
      <c r="J47" s="23">
        <f>2.49*35</f>
        <v>87.15</v>
      </c>
      <c r="K47" s="17"/>
      <c r="L47" s="11" t="s">
        <v>15</v>
      </c>
      <c r="M47" s="22">
        <v>1.31</v>
      </c>
      <c r="N47" s="23">
        <f>1.18*35</f>
        <v>41.3</v>
      </c>
      <c r="O47" s="17"/>
      <c r="P47" s="11" t="s">
        <v>15</v>
      </c>
      <c r="Q47" s="34"/>
      <c r="R47" s="35"/>
      <c r="S47" s="17"/>
      <c r="T47" s="11" t="s">
        <v>15</v>
      </c>
      <c r="U47" s="34"/>
      <c r="V47" s="35"/>
      <c r="W47" s="17"/>
    </row>
    <row r="48" spans="1:23" ht="23.1" customHeight="1" thickBot="1">
      <c r="A48" s="43" t="s">
        <v>21</v>
      </c>
      <c r="B48" s="8" t="s">
        <v>4</v>
      </c>
      <c r="C48" s="13"/>
      <c r="D48" s="12" t="s">
        <v>15</v>
      </c>
      <c r="E48" s="24">
        <v>1.17</v>
      </c>
      <c r="F48" s="25">
        <f>2.07*35</f>
        <v>72.449999999999989</v>
      </c>
      <c r="G48" s="17"/>
      <c r="H48" s="12" t="s">
        <v>15</v>
      </c>
      <c r="I48" s="24">
        <v>3.34</v>
      </c>
      <c r="J48" s="25">
        <f>8.14*35</f>
        <v>284.90000000000003</v>
      </c>
      <c r="K48" s="17"/>
      <c r="L48" s="12" t="s">
        <v>15</v>
      </c>
      <c r="M48" s="24">
        <v>1.27</v>
      </c>
      <c r="N48" s="25">
        <f>1.43*35</f>
        <v>50.05</v>
      </c>
      <c r="O48" s="17"/>
      <c r="P48" s="12" t="s">
        <v>15</v>
      </c>
      <c r="Q48" s="46"/>
      <c r="R48" s="47"/>
      <c r="S48" s="17"/>
      <c r="T48" s="12" t="s">
        <v>15</v>
      </c>
      <c r="U48" s="46"/>
      <c r="V48" s="47"/>
      <c r="W48" s="17"/>
    </row>
    <row r="49" spans="1:23" ht="4.5" customHeight="1">
      <c r="A49" s="17"/>
      <c r="B49" s="17"/>
      <c r="C49" s="13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ht="15" thickBot="1">
      <c r="P50" s="3"/>
      <c r="Q50" s="3"/>
      <c r="R50" s="3"/>
      <c r="S50" s="3"/>
      <c r="T50" s="3"/>
      <c r="U50" s="3"/>
      <c r="V50" s="3"/>
      <c r="W50" s="3"/>
    </row>
    <row r="51" spans="1:23" ht="15">
      <c r="B51" s="9" t="s">
        <v>9</v>
      </c>
      <c r="D51" s="108">
        <v>40586</v>
      </c>
      <c r="E51" s="106"/>
      <c r="F51" s="107"/>
      <c r="H51" s="108">
        <v>40632</v>
      </c>
      <c r="I51" s="106"/>
      <c r="J51" s="107"/>
      <c r="L51" s="108">
        <v>40673</v>
      </c>
      <c r="M51" s="106"/>
      <c r="N51" s="107"/>
      <c r="P51" s="3"/>
    </row>
    <row r="52" spans="1:23" ht="45.75" thickBot="1">
      <c r="A52" s="2"/>
      <c r="B52" s="2"/>
      <c r="C52" s="4"/>
      <c r="D52" s="63" t="s">
        <v>6</v>
      </c>
      <c r="E52" s="61" t="s">
        <v>7</v>
      </c>
      <c r="F52" s="64" t="s">
        <v>8</v>
      </c>
      <c r="G52" s="2"/>
      <c r="H52" s="63" t="s">
        <v>6</v>
      </c>
      <c r="I52" s="61" t="s">
        <v>7</v>
      </c>
      <c r="J52" s="64" t="s">
        <v>8</v>
      </c>
      <c r="K52" s="2"/>
      <c r="L52" s="63" t="s">
        <v>6</v>
      </c>
      <c r="M52" s="61" t="s">
        <v>7</v>
      </c>
      <c r="N52" s="64" t="s">
        <v>8</v>
      </c>
      <c r="O52" s="2"/>
    </row>
    <row r="53" spans="1:23" ht="4.5" customHeight="1" thickBot="1">
      <c r="A53" s="14"/>
      <c r="B53" s="15"/>
      <c r="C53" s="13"/>
      <c r="D53" s="16"/>
      <c r="E53" s="26"/>
      <c r="F53" s="26"/>
      <c r="G53" s="13"/>
      <c r="H53" s="16"/>
      <c r="I53" s="26"/>
      <c r="J53" s="26"/>
      <c r="K53" s="13"/>
      <c r="L53" s="16"/>
      <c r="M53" s="26"/>
      <c r="N53" s="26"/>
      <c r="O53" s="13"/>
    </row>
    <row r="54" spans="1:23" ht="23.1" customHeight="1">
      <c r="A54" s="119" t="s">
        <v>16</v>
      </c>
      <c r="B54" s="6" t="s">
        <v>1</v>
      </c>
      <c r="C54" s="13"/>
      <c r="D54" s="10" t="s">
        <v>12</v>
      </c>
      <c r="E54" s="57">
        <v>4.18</v>
      </c>
      <c r="F54" s="58">
        <f>8.76*35</f>
        <v>306.59999999999997</v>
      </c>
      <c r="G54" s="17"/>
      <c r="H54" s="10" t="s">
        <v>12</v>
      </c>
      <c r="I54" s="57">
        <v>1.56</v>
      </c>
      <c r="J54" s="58">
        <f>2.29*35</f>
        <v>80.150000000000006</v>
      </c>
      <c r="K54" s="17"/>
      <c r="L54" s="10" t="s">
        <v>12</v>
      </c>
      <c r="M54" s="57">
        <v>3.58</v>
      </c>
      <c r="N54" s="58">
        <f>5.96*35</f>
        <v>208.6</v>
      </c>
      <c r="O54" s="17"/>
    </row>
    <row r="55" spans="1:23" ht="23.1" customHeight="1">
      <c r="A55" s="120"/>
      <c r="B55" s="7" t="s">
        <v>2</v>
      </c>
      <c r="C55" s="13"/>
      <c r="D55" s="11" t="s">
        <v>12</v>
      </c>
      <c r="E55" s="48">
        <v>6.53</v>
      </c>
      <c r="F55" s="49">
        <f>3.45*35</f>
        <v>120.75</v>
      </c>
      <c r="G55" s="17"/>
      <c r="H55" s="11" t="s">
        <v>12</v>
      </c>
      <c r="I55" s="48">
        <v>0.8</v>
      </c>
      <c r="J55" s="49">
        <f>0.42*35</f>
        <v>14.7</v>
      </c>
      <c r="K55" s="17"/>
      <c r="L55" s="11" t="s">
        <v>12</v>
      </c>
      <c r="M55" s="48">
        <v>4.32</v>
      </c>
      <c r="N55" s="49">
        <f>2.2*35</f>
        <v>77</v>
      </c>
      <c r="O55" s="17"/>
    </row>
    <row r="56" spans="1:23" ht="23.1" customHeight="1">
      <c r="A56" s="120"/>
      <c r="B56" s="7" t="s">
        <v>3</v>
      </c>
      <c r="C56" s="13"/>
      <c r="D56" s="11" t="s">
        <v>12</v>
      </c>
      <c r="E56" s="48">
        <v>1.84</v>
      </c>
      <c r="F56" s="49">
        <f>2.22*35</f>
        <v>77.7</v>
      </c>
      <c r="G56" s="17"/>
      <c r="H56" s="11" t="s">
        <v>12</v>
      </c>
      <c r="I56" s="48">
        <v>0.78</v>
      </c>
      <c r="J56" s="49">
        <f>0.52*35</f>
        <v>18.2</v>
      </c>
      <c r="K56" s="17"/>
      <c r="L56" s="11" t="s">
        <v>12</v>
      </c>
      <c r="M56" s="48">
        <v>1.32</v>
      </c>
      <c r="N56" s="49">
        <f>1.33*35</f>
        <v>46.550000000000004</v>
      </c>
      <c r="O56" s="17"/>
    </row>
    <row r="57" spans="1:23" ht="23.1" customHeight="1" thickBot="1">
      <c r="A57" s="40" t="s">
        <v>18</v>
      </c>
      <c r="B57" s="8" t="s">
        <v>4</v>
      </c>
      <c r="C57" s="13"/>
      <c r="D57" s="12" t="s">
        <v>12</v>
      </c>
      <c r="E57" s="59">
        <v>1.38</v>
      </c>
      <c r="F57" s="60">
        <f>1.51*35</f>
        <v>52.85</v>
      </c>
      <c r="G57" s="17"/>
      <c r="H57" s="12" t="s">
        <v>12</v>
      </c>
      <c r="I57" s="46"/>
      <c r="J57" s="47"/>
      <c r="K57" s="17"/>
      <c r="L57" s="12" t="s">
        <v>12</v>
      </c>
      <c r="M57" s="46"/>
      <c r="N57" s="47"/>
      <c r="O57" s="17"/>
    </row>
    <row r="58" spans="1:23" ht="4.5" customHeight="1" thickBot="1">
      <c r="A58" s="14"/>
      <c r="B58" s="15"/>
      <c r="C58" s="13"/>
      <c r="D58" s="16"/>
      <c r="E58" s="26"/>
      <c r="F58" s="26"/>
      <c r="G58" s="13"/>
      <c r="H58" s="16"/>
      <c r="I58" s="26"/>
      <c r="J58" s="26"/>
      <c r="K58" s="13"/>
      <c r="L58" s="16"/>
      <c r="M58" s="26"/>
      <c r="N58" s="26"/>
      <c r="O58" s="13"/>
    </row>
    <row r="59" spans="1:23" ht="23.1" customHeight="1">
      <c r="A59" s="115" t="s">
        <v>16</v>
      </c>
      <c r="B59" s="6" t="s">
        <v>1</v>
      </c>
      <c r="C59" s="13"/>
      <c r="D59" s="10" t="s">
        <v>12</v>
      </c>
      <c r="E59" s="57">
        <v>4.84</v>
      </c>
      <c r="F59" s="58">
        <f>7.13*35</f>
        <v>249.54999999999998</v>
      </c>
      <c r="G59" s="17"/>
      <c r="H59" s="10" t="s">
        <v>12</v>
      </c>
      <c r="I59" s="57">
        <v>0.39</v>
      </c>
      <c r="J59" s="58">
        <f>0.22*35</f>
        <v>7.7</v>
      </c>
      <c r="K59" s="17"/>
      <c r="L59" s="10" t="s">
        <v>12</v>
      </c>
      <c r="M59" s="57">
        <v>6.19</v>
      </c>
      <c r="N59" s="58">
        <f>5.45*35</f>
        <v>190.75</v>
      </c>
      <c r="O59" s="17"/>
    </row>
    <row r="60" spans="1:23" ht="23.1" customHeight="1">
      <c r="A60" s="116"/>
      <c r="B60" s="7" t="s">
        <v>2</v>
      </c>
      <c r="C60" s="13"/>
      <c r="D60" s="11" t="s">
        <v>12</v>
      </c>
      <c r="E60" s="48">
        <v>4.99</v>
      </c>
      <c r="F60" s="49">
        <f>6.68*35</f>
        <v>233.79999999999998</v>
      </c>
      <c r="G60" s="17"/>
      <c r="H60" s="11" t="s">
        <v>12</v>
      </c>
      <c r="I60" s="48">
        <v>0.91</v>
      </c>
      <c r="J60" s="49">
        <f>0.47*35</f>
        <v>16.45</v>
      </c>
      <c r="K60" s="17"/>
      <c r="L60" s="11" t="s">
        <v>12</v>
      </c>
      <c r="M60" s="48">
        <v>2.78</v>
      </c>
      <c r="N60" s="49">
        <f>4.74*35</f>
        <v>165.9</v>
      </c>
      <c r="O60" s="17"/>
    </row>
    <row r="61" spans="1:23" ht="23.1" customHeight="1">
      <c r="A61" s="116"/>
      <c r="B61" s="7" t="s">
        <v>3</v>
      </c>
      <c r="C61" s="13"/>
      <c r="D61" s="11" t="s">
        <v>12</v>
      </c>
      <c r="E61" s="48">
        <v>1.9</v>
      </c>
      <c r="F61" s="49">
        <f>2.06*35</f>
        <v>72.100000000000009</v>
      </c>
      <c r="G61" s="17"/>
      <c r="H61" s="11" t="s">
        <v>12</v>
      </c>
      <c r="I61" s="48">
        <v>0.68</v>
      </c>
      <c r="J61" s="49">
        <f>0.15*35</f>
        <v>5.25</v>
      </c>
      <c r="K61" s="17"/>
      <c r="L61" s="11" t="s">
        <v>12</v>
      </c>
      <c r="M61" s="48">
        <v>1.73</v>
      </c>
      <c r="N61" s="49">
        <f>2.79*35</f>
        <v>97.65</v>
      </c>
      <c r="O61" s="17"/>
    </row>
    <row r="62" spans="1:23" ht="23.1" customHeight="1" thickBot="1">
      <c r="A62" s="41" t="s">
        <v>19</v>
      </c>
      <c r="B62" s="8" t="s">
        <v>4</v>
      </c>
      <c r="C62" s="13"/>
      <c r="D62" s="12" t="s">
        <v>12</v>
      </c>
      <c r="E62" s="59">
        <v>2.2999999999999998</v>
      </c>
      <c r="F62" s="60">
        <f>3.32*35</f>
        <v>116.19999999999999</v>
      </c>
      <c r="G62" s="17"/>
      <c r="H62" s="12" t="s">
        <v>12</v>
      </c>
      <c r="I62" s="46"/>
      <c r="J62" s="47"/>
      <c r="K62" s="17"/>
      <c r="L62" s="12" t="s">
        <v>12</v>
      </c>
      <c r="M62" s="46"/>
      <c r="N62" s="47"/>
      <c r="O62" s="17"/>
    </row>
    <row r="63" spans="1:23" ht="4.5" customHeight="1" thickBot="1">
      <c r="A63" s="17"/>
      <c r="B63" s="17"/>
      <c r="C63" s="13"/>
      <c r="D63" s="17"/>
      <c r="E63" s="33"/>
      <c r="F63" s="33"/>
      <c r="G63" s="17"/>
      <c r="H63" s="17"/>
      <c r="I63" s="33"/>
      <c r="J63" s="33"/>
      <c r="K63" s="17"/>
      <c r="L63" s="17"/>
      <c r="M63" s="33"/>
      <c r="N63" s="33"/>
      <c r="O63" s="17"/>
    </row>
    <row r="64" spans="1:23" ht="23.1" customHeight="1">
      <c r="A64" s="100" t="s">
        <v>16</v>
      </c>
      <c r="B64" s="6" t="s">
        <v>1</v>
      </c>
      <c r="C64" s="13"/>
      <c r="D64" s="10" t="s">
        <v>15</v>
      </c>
      <c r="E64" s="44"/>
      <c r="F64" s="45"/>
      <c r="G64" s="17"/>
      <c r="H64" s="10" t="s">
        <v>15</v>
      </c>
      <c r="I64" s="44"/>
      <c r="J64" s="45"/>
      <c r="K64" s="17"/>
      <c r="L64" s="10" t="s">
        <v>15</v>
      </c>
      <c r="M64" s="44"/>
      <c r="N64" s="45"/>
      <c r="O64" s="17"/>
    </row>
    <row r="65" spans="1:15" ht="23.1" customHeight="1">
      <c r="A65" s="101"/>
      <c r="B65" s="7" t="s">
        <v>2</v>
      </c>
      <c r="C65" s="13"/>
      <c r="D65" s="11" t="s">
        <v>15</v>
      </c>
      <c r="E65" s="34"/>
      <c r="F65" s="35"/>
      <c r="G65" s="17"/>
      <c r="H65" s="11" t="s">
        <v>15</v>
      </c>
      <c r="I65" s="34"/>
      <c r="J65" s="35"/>
      <c r="K65" s="17"/>
      <c r="L65" s="11" t="s">
        <v>15</v>
      </c>
      <c r="M65" s="34"/>
      <c r="N65" s="35"/>
      <c r="O65" s="17"/>
    </row>
    <row r="66" spans="1:15" ht="23.1" customHeight="1">
      <c r="A66" s="101"/>
      <c r="B66" s="7" t="s">
        <v>3</v>
      </c>
      <c r="C66" s="13"/>
      <c r="D66" s="11" t="s">
        <v>15</v>
      </c>
      <c r="E66" s="34"/>
      <c r="F66" s="35"/>
      <c r="G66" s="17"/>
      <c r="H66" s="11" t="s">
        <v>15</v>
      </c>
      <c r="I66" s="34"/>
      <c r="J66" s="35"/>
      <c r="K66" s="17"/>
      <c r="L66" s="11" t="s">
        <v>15</v>
      </c>
      <c r="M66" s="34"/>
      <c r="N66" s="35"/>
      <c r="O66" s="17"/>
    </row>
    <row r="67" spans="1:15" ht="23.1" customHeight="1" thickBot="1">
      <c r="A67" s="42" t="s">
        <v>20</v>
      </c>
      <c r="B67" s="8" t="s">
        <v>4</v>
      </c>
      <c r="C67" s="13"/>
      <c r="D67" s="12" t="s">
        <v>15</v>
      </c>
      <c r="E67" s="46"/>
      <c r="F67" s="47"/>
      <c r="G67" s="17"/>
      <c r="H67" s="12" t="s">
        <v>15</v>
      </c>
      <c r="I67" s="46"/>
      <c r="J67" s="47"/>
      <c r="K67" s="17"/>
      <c r="L67" s="12" t="s">
        <v>15</v>
      </c>
      <c r="M67" s="46"/>
      <c r="N67" s="47"/>
      <c r="O67" s="17"/>
    </row>
    <row r="68" spans="1:15" ht="4.5" customHeight="1" thickBot="1">
      <c r="A68" s="14"/>
      <c r="B68" s="15"/>
      <c r="C68" s="13"/>
      <c r="D68" s="16"/>
      <c r="E68" s="26"/>
      <c r="F68" s="26"/>
      <c r="G68" s="13"/>
      <c r="H68" s="16"/>
      <c r="I68" s="26"/>
      <c r="J68" s="26"/>
      <c r="K68" s="13"/>
      <c r="L68" s="16"/>
      <c r="M68" s="26"/>
      <c r="N68" s="26"/>
      <c r="O68" s="13"/>
    </row>
    <row r="69" spans="1:15" ht="23.1" customHeight="1">
      <c r="A69" s="117" t="s">
        <v>16</v>
      </c>
      <c r="B69" s="6" t="s">
        <v>1</v>
      </c>
      <c r="C69" s="13"/>
      <c r="D69" s="10" t="s">
        <v>15</v>
      </c>
      <c r="E69" s="44"/>
      <c r="F69" s="45"/>
      <c r="G69" s="17"/>
      <c r="H69" s="10" t="s">
        <v>15</v>
      </c>
      <c r="I69" s="44"/>
      <c r="J69" s="45"/>
      <c r="K69" s="17"/>
      <c r="L69" s="10" t="s">
        <v>15</v>
      </c>
      <c r="M69" s="44"/>
      <c r="N69" s="45"/>
      <c r="O69" s="17"/>
    </row>
    <row r="70" spans="1:15" ht="23.1" customHeight="1">
      <c r="A70" s="118"/>
      <c r="B70" s="7" t="s">
        <v>2</v>
      </c>
      <c r="C70" s="13"/>
      <c r="D70" s="11" t="s">
        <v>15</v>
      </c>
      <c r="E70" s="34"/>
      <c r="F70" s="35"/>
      <c r="G70" s="17"/>
      <c r="H70" s="11" t="s">
        <v>15</v>
      </c>
      <c r="I70" s="34"/>
      <c r="J70" s="35"/>
      <c r="K70" s="17"/>
      <c r="L70" s="11" t="s">
        <v>15</v>
      </c>
      <c r="M70" s="34"/>
      <c r="N70" s="35"/>
      <c r="O70" s="17"/>
    </row>
    <row r="71" spans="1:15" ht="23.1" customHeight="1">
      <c r="A71" s="118"/>
      <c r="B71" s="7" t="s">
        <v>3</v>
      </c>
      <c r="C71" s="13"/>
      <c r="D71" s="11" t="s">
        <v>15</v>
      </c>
      <c r="E71" s="34"/>
      <c r="F71" s="35"/>
      <c r="G71" s="17"/>
      <c r="H71" s="11" t="s">
        <v>15</v>
      </c>
      <c r="I71" s="34"/>
      <c r="J71" s="35"/>
      <c r="K71" s="17"/>
      <c r="L71" s="11" t="s">
        <v>15</v>
      </c>
      <c r="M71" s="34"/>
      <c r="N71" s="35"/>
      <c r="O71" s="17"/>
    </row>
    <row r="72" spans="1:15" ht="23.1" customHeight="1" thickBot="1">
      <c r="A72" s="43" t="s">
        <v>21</v>
      </c>
      <c r="B72" s="8" t="s">
        <v>4</v>
      </c>
      <c r="C72" s="13"/>
      <c r="D72" s="12" t="s">
        <v>15</v>
      </c>
      <c r="E72" s="46"/>
      <c r="F72" s="47"/>
      <c r="G72" s="17"/>
      <c r="H72" s="12" t="s">
        <v>15</v>
      </c>
      <c r="I72" s="46"/>
      <c r="J72" s="47"/>
      <c r="K72" s="17"/>
      <c r="L72" s="12" t="s">
        <v>15</v>
      </c>
      <c r="M72" s="46"/>
      <c r="N72" s="47"/>
      <c r="O72" s="17"/>
    </row>
    <row r="73" spans="1:15" ht="4.5" customHeight="1">
      <c r="A73" s="17"/>
      <c r="B73" s="17"/>
      <c r="C73" s="13"/>
      <c r="D73" s="17"/>
      <c r="E73" s="17"/>
      <c r="F73" s="17"/>
      <c r="G73" s="17"/>
    </row>
    <row r="76" spans="1:15" ht="15">
      <c r="B76" s="18" t="s">
        <v>92</v>
      </c>
    </row>
  </sheetData>
  <mergeCells count="25">
    <mergeCell ref="A59:A61"/>
    <mergeCell ref="A64:A66"/>
    <mergeCell ref="A69:A71"/>
    <mergeCell ref="A30:A32"/>
    <mergeCell ref="A35:A37"/>
    <mergeCell ref="A40:A42"/>
    <mergeCell ref="A45:A47"/>
    <mergeCell ref="A54:A56"/>
    <mergeCell ref="D51:F51"/>
    <mergeCell ref="A21:A23"/>
    <mergeCell ref="P27:R27"/>
    <mergeCell ref="H27:J27"/>
    <mergeCell ref="L27:N27"/>
    <mergeCell ref="H51:J51"/>
    <mergeCell ref="L51:N51"/>
    <mergeCell ref="A6:A8"/>
    <mergeCell ref="A11:A13"/>
    <mergeCell ref="A16:A18"/>
    <mergeCell ref="D27:F27"/>
    <mergeCell ref="T27:V27"/>
    <mergeCell ref="T3:V3"/>
    <mergeCell ref="D3:F3"/>
    <mergeCell ref="H3:J3"/>
    <mergeCell ref="L3:N3"/>
    <mergeCell ref="P3:R3"/>
  </mergeCells>
  <pageMargins left="0.5" right="1" top="0.75" bottom="0.25" header="0.75" footer="0.16"/>
  <pageSetup scale="55" fitToWidth="3" orientation="landscape" horizontalDpi="300" verticalDpi="300" r:id="rId1"/>
  <rowBreaks count="1" manualBreakCount="1">
    <brk id="49" max="16383" man="1"/>
  </rowBreaks>
  <colBreaks count="1" manualBreakCount="1"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view="pageBreakPreview" topLeftCell="A10" zoomScale="85" zoomScaleNormal="100" zoomScaleSheetLayoutView="85" workbookViewId="0">
      <selection activeCell="F29" sqref="F29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22" width="10.42578125" style="1" customWidth="1"/>
    <col min="23" max="23" width="0.85546875" style="1" customWidth="1"/>
    <col min="24" max="16384" width="9.140625" style="1"/>
  </cols>
  <sheetData>
    <row r="1" spans="1:23" ht="23.25">
      <c r="A1" s="86" t="s">
        <v>179</v>
      </c>
      <c r="D1" s="96"/>
      <c r="E1" s="97"/>
      <c r="F1" s="97"/>
      <c r="G1" s="97"/>
      <c r="H1" s="96"/>
      <c r="I1" s="97"/>
      <c r="J1" s="97"/>
      <c r="K1" s="97"/>
      <c r="L1" s="96"/>
      <c r="M1" s="97"/>
      <c r="N1" s="97"/>
      <c r="O1" s="97"/>
      <c r="P1" s="96"/>
      <c r="Q1" s="97"/>
      <c r="R1" s="97"/>
      <c r="S1" s="97"/>
      <c r="T1" s="96"/>
      <c r="U1" s="97"/>
      <c r="V1" s="97"/>
      <c r="W1" s="97"/>
    </row>
    <row r="2" spans="1:23" ht="15" thickBot="1"/>
    <row r="3" spans="1:23" ht="15">
      <c r="B3" s="9" t="s">
        <v>9</v>
      </c>
      <c r="D3" s="108">
        <v>40550</v>
      </c>
      <c r="E3" s="106"/>
      <c r="F3" s="107"/>
      <c r="H3" s="108">
        <v>40566</v>
      </c>
      <c r="I3" s="106"/>
      <c r="J3" s="107"/>
      <c r="L3" s="108">
        <v>40586</v>
      </c>
      <c r="M3" s="106"/>
      <c r="N3" s="107"/>
      <c r="P3" s="108">
        <v>40598</v>
      </c>
      <c r="Q3" s="106"/>
      <c r="R3" s="107"/>
      <c r="T3" s="108">
        <v>40631</v>
      </c>
      <c r="U3" s="106"/>
      <c r="V3" s="107"/>
    </row>
    <row r="4" spans="1:23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K4" s="5"/>
      <c r="L4" s="63" t="s">
        <v>6</v>
      </c>
      <c r="M4" s="61" t="s">
        <v>7</v>
      </c>
      <c r="N4" s="64" t="s">
        <v>8</v>
      </c>
      <c r="O4" s="5"/>
      <c r="P4" s="63" t="s">
        <v>6</v>
      </c>
      <c r="Q4" s="61" t="s">
        <v>7</v>
      </c>
      <c r="R4" s="64" t="s">
        <v>8</v>
      </c>
      <c r="S4" s="5"/>
      <c r="T4" s="63" t="s">
        <v>6</v>
      </c>
      <c r="U4" s="61" t="s">
        <v>7</v>
      </c>
      <c r="V4" s="64" t="s">
        <v>8</v>
      </c>
      <c r="W4" s="5"/>
    </row>
    <row r="5" spans="1:23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23.1" customHeight="1">
      <c r="A6" s="109" t="s">
        <v>13</v>
      </c>
      <c r="B6" s="6" t="s">
        <v>1</v>
      </c>
      <c r="C6" s="13"/>
      <c r="D6" s="10" t="s">
        <v>11</v>
      </c>
      <c r="E6" s="20">
        <v>1.28</v>
      </c>
      <c r="F6" s="21">
        <f>0.28*35</f>
        <v>9.8000000000000007</v>
      </c>
      <c r="G6" s="27"/>
      <c r="H6" s="10" t="s">
        <v>11</v>
      </c>
      <c r="I6" s="20">
        <v>2.98</v>
      </c>
      <c r="J6" s="21">
        <f>1.79*35</f>
        <v>62.65</v>
      </c>
      <c r="K6" s="27"/>
      <c r="L6" s="10" t="s">
        <v>11</v>
      </c>
      <c r="M6" s="20">
        <v>4.12</v>
      </c>
      <c r="N6" s="21">
        <f>2.78*35</f>
        <v>97.3</v>
      </c>
      <c r="O6" s="27"/>
      <c r="P6" s="10" t="s">
        <v>11</v>
      </c>
      <c r="Q6" s="20">
        <v>2.4900000000000002</v>
      </c>
      <c r="R6" s="21">
        <f>0.98*35</f>
        <v>34.299999999999997</v>
      </c>
      <c r="S6" s="27"/>
      <c r="T6" s="10" t="s">
        <v>11</v>
      </c>
      <c r="U6" s="20">
        <v>0.76</v>
      </c>
      <c r="V6" s="21">
        <f>0.22*35</f>
        <v>7.7</v>
      </c>
      <c r="W6" s="27"/>
    </row>
    <row r="7" spans="1:23" ht="23.1" customHeight="1">
      <c r="A7" s="110"/>
      <c r="B7" s="7" t="s">
        <v>2</v>
      </c>
      <c r="C7" s="13"/>
      <c r="D7" s="11" t="s">
        <v>11</v>
      </c>
      <c r="E7" s="22">
        <v>2.1800000000000002</v>
      </c>
      <c r="F7" s="23">
        <f>0.15*35</f>
        <v>5.25</v>
      </c>
      <c r="G7" s="27"/>
      <c r="H7" s="11" t="s">
        <v>11</v>
      </c>
      <c r="I7" s="22">
        <v>16.100000000000001</v>
      </c>
      <c r="J7" s="23">
        <f>2.16*35</f>
        <v>75.600000000000009</v>
      </c>
      <c r="K7" s="27"/>
      <c r="L7" s="11" t="s">
        <v>11</v>
      </c>
      <c r="M7" s="22">
        <v>8.42</v>
      </c>
      <c r="N7" s="23">
        <f>2.03*35</f>
        <v>71.05</v>
      </c>
      <c r="O7" s="27"/>
      <c r="P7" s="11" t="s">
        <v>11</v>
      </c>
      <c r="Q7" s="22">
        <v>3.04</v>
      </c>
      <c r="R7" s="23">
        <f>1.24*35</f>
        <v>43.4</v>
      </c>
      <c r="S7" s="27"/>
      <c r="T7" s="11" t="s">
        <v>11</v>
      </c>
      <c r="U7" s="22">
        <v>0.82</v>
      </c>
      <c r="V7" s="23">
        <f>0.34*35</f>
        <v>11.9</v>
      </c>
      <c r="W7" s="27"/>
    </row>
    <row r="8" spans="1:23" ht="23.1" customHeight="1">
      <c r="A8" s="110"/>
      <c r="B8" s="7" t="s">
        <v>3</v>
      </c>
      <c r="C8" s="13"/>
      <c r="D8" s="11" t="s">
        <v>11</v>
      </c>
      <c r="E8" s="22">
        <v>2.31</v>
      </c>
      <c r="F8" s="23">
        <f>0.11*35</f>
        <v>3.85</v>
      </c>
      <c r="G8" s="27"/>
      <c r="H8" s="11" t="s">
        <v>11</v>
      </c>
      <c r="I8" s="22">
        <v>6.02</v>
      </c>
      <c r="J8" s="23">
        <f>1.89*35</f>
        <v>66.149999999999991</v>
      </c>
      <c r="K8" s="27"/>
      <c r="L8" s="11" t="s">
        <v>11</v>
      </c>
      <c r="M8" s="22">
        <v>3.16</v>
      </c>
      <c r="N8" s="23">
        <f>1.69*35</f>
        <v>59.15</v>
      </c>
      <c r="O8" s="27"/>
      <c r="P8" s="11" t="s">
        <v>11</v>
      </c>
      <c r="Q8" s="22">
        <v>3.87</v>
      </c>
      <c r="R8" s="23">
        <f>1.64*35</f>
        <v>57.4</v>
      </c>
      <c r="S8" s="27"/>
      <c r="T8" s="11" t="s">
        <v>11</v>
      </c>
      <c r="U8" s="22">
        <v>0.69</v>
      </c>
      <c r="V8" s="23">
        <f>0.7*35</f>
        <v>24.5</v>
      </c>
      <c r="W8" s="27"/>
    </row>
    <row r="9" spans="1:23" ht="23.1" customHeight="1" thickBot="1">
      <c r="A9" s="111"/>
      <c r="B9" s="8" t="s">
        <v>4</v>
      </c>
      <c r="C9" s="13"/>
      <c r="D9" s="12" t="s">
        <v>11</v>
      </c>
      <c r="E9" s="46"/>
      <c r="F9" s="47"/>
      <c r="G9" s="27"/>
      <c r="H9" s="12" t="s">
        <v>11</v>
      </c>
      <c r="I9" s="59">
        <v>2.08</v>
      </c>
      <c r="J9" s="60">
        <f>0.97*35</f>
        <v>33.949999999999996</v>
      </c>
      <c r="K9" s="27"/>
      <c r="L9" s="12" t="s">
        <v>11</v>
      </c>
      <c r="M9" s="59">
        <v>1.98</v>
      </c>
      <c r="N9" s="60">
        <f>1.35*35</f>
        <v>47.25</v>
      </c>
      <c r="O9" s="27"/>
      <c r="P9" s="12" t="s">
        <v>11</v>
      </c>
      <c r="Q9" s="46"/>
      <c r="R9" s="47"/>
      <c r="S9" s="27"/>
      <c r="T9" s="12" t="s">
        <v>11</v>
      </c>
      <c r="U9" s="46"/>
      <c r="V9" s="47"/>
      <c r="W9" s="27"/>
    </row>
    <row r="10" spans="1:23" s="3" customFormat="1" ht="5.0999999999999996" customHeight="1" thickBot="1">
      <c r="A10" s="14"/>
      <c r="B10" s="15"/>
      <c r="C10" s="13"/>
      <c r="D10" s="16"/>
      <c r="E10" s="26"/>
      <c r="F10" s="26"/>
      <c r="G10" s="31"/>
      <c r="H10" s="16"/>
      <c r="I10" s="26"/>
      <c r="J10" s="26"/>
      <c r="K10" s="31"/>
      <c r="L10" s="16"/>
      <c r="M10" s="26" t="s">
        <v>143</v>
      </c>
      <c r="N10" s="26"/>
      <c r="O10" s="31"/>
      <c r="P10" s="16"/>
      <c r="Q10" s="26"/>
      <c r="R10" s="26"/>
      <c r="S10" s="31"/>
      <c r="T10" s="16"/>
      <c r="U10" s="26"/>
      <c r="V10" s="26"/>
      <c r="W10" s="31"/>
    </row>
    <row r="11" spans="1:23" ht="23.1" customHeight="1">
      <c r="A11" s="102" t="s">
        <v>14</v>
      </c>
      <c r="B11" s="6" t="s">
        <v>1</v>
      </c>
      <c r="C11" s="13"/>
      <c r="D11" s="10" t="s">
        <v>11</v>
      </c>
      <c r="E11" s="20">
        <v>2.93</v>
      </c>
      <c r="F11" s="21">
        <f>1.64*35</f>
        <v>57.4</v>
      </c>
      <c r="G11" s="27"/>
      <c r="H11" s="10" t="s">
        <v>11</v>
      </c>
      <c r="I11" s="20">
        <v>3.32</v>
      </c>
      <c r="J11" s="21">
        <f>1.54*35</f>
        <v>53.9</v>
      </c>
      <c r="K11" s="27"/>
      <c r="L11" s="10" t="s">
        <v>11</v>
      </c>
      <c r="M11" s="20">
        <v>3.53</v>
      </c>
      <c r="N11" s="21">
        <f>2.36*35</f>
        <v>82.6</v>
      </c>
      <c r="O11" s="27"/>
      <c r="P11" s="10" t="s">
        <v>11</v>
      </c>
      <c r="Q11" s="20">
        <v>1.97</v>
      </c>
      <c r="R11" s="21">
        <f>0.79*35</f>
        <v>27.650000000000002</v>
      </c>
      <c r="S11" s="27"/>
      <c r="T11" s="10" t="s">
        <v>11</v>
      </c>
      <c r="U11" s="20">
        <v>1.4</v>
      </c>
      <c r="V11" s="21">
        <f>0.24*35</f>
        <v>8.4</v>
      </c>
      <c r="W11" s="27"/>
    </row>
    <row r="12" spans="1:23" ht="23.1" customHeight="1">
      <c r="A12" s="103"/>
      <c r="B12" s="7" t="s">
        <v>2</v>
      </c>
      <c r="C12" s="13"/>
      <c r="D12" s="11" t="s">
        <v>11</v>
      </c>
      <c r="E12" s="22">
        <v>3.23</v>
      </c>
      <c r="F12" s="23">
        <f>1.22*35</f>
        <v>42.699999999999996</v>
      </c>
      <c r="G12" s="27"/>
      <c r="H12" s="11" t="s">
        <v>11</v>
      </c>
      <c r="I12" s="22">
        <v>3.59</v>
      </c>
      <c r="J12" s="23">
        <f>1.58*35</f>
        <v>55.300000000000004</v>
      </c>
      <c r="K12" s="27"/>
      <c r="L12" s="11" t="s">
        <v>11</v>
      </c>
      <c r="M12" s="22">
        <v>3.41</v>
      </c>
      <c r="N12" s="23">
        <f>2.05*35</f>
        <v>71.75</v>
      </c>
      <c r="O12" s="27"/>
      <c r="P12" s="11" t="s">
        <v>11</v>
      </c>
      <c r="Q12" s="22">
        <v>16.7</v>
      </c>
      <c r="R12" s="23">
        <f>2.34*35</f>
        <v>81.899999999999991</v>
      </c>
      <c r="S12" s="27"/>
      <c r="T12" s="11" t="s">
        <v>11</v>
      </c>
      <c r="U12" s="22">
        <v>0.54</v>
      </c>
      <c r="V12" s="23">
        <f>0.23*35</f>
        <v>8.0500000000000007</v>
      </c>
      <c r="W12" s="27"/>
    </row>
    <row r="13" spans="1:23" ht="23.1" customHeight="1">
      <c r="A13" s="103"/>
      <c r="B13" s="7" t="s">
        <v>3</v>
      </c>
      <c r="C13" s="13"/>
      <c r="D13" s="11" t="s">
        <v>11</v>
      </c>
      <c r="E13" s="22">
        <v>2.67</v>
      </c>
      <c r="F13" s="23">
        <f>0.95*35</f>
        <v>33.25</v>
      </c>
      <c r="G13" s="27"/>
      <c r="H13" s="11" t="s">
        <v>11</v>
      </c>
      <c r="I13" s="22">
        <v>4.26</v>
      </c>
      <c r="J13" s="23">
        <f>1.04*35</f>
        <v>36.4</v>
      </c>
      <c r="K13" s="27"/>
      <c r="L13" s="11" t="s">
        <v>11</v>
      </c>
      <c r="M13" s="22">
        <v>2.64</v>
      </c>
      <c r="N13" s="23">
        <f>1.63*35</f>
        <v>57.05</v>
      </c>
      <c r="O13" s="27"/>
      <c r="P13" s="11" t="s">
        <v>11</v>
      </c>
      <c r="Q13" s="22">
        <v>2.41</v>
      </c>
      <c r="R13" s="23">
        <f>1.63*35</f>
        <v>57.05</v>
      </c>
      <c r="S13" s="27"/>
      <c r="T13" s="11" t="s">
        <v>11</v>
      </c>
      <c r="U13" s="22">
        <v>0.84</v>
      </c>
      <c r="V13" s="23">
        <f>0.8*35</f>
        <v>28</v>
      </c>
      <c r="W13" s="27"/>
    </row>
    <row r="14" spans="1:23" ht="23.1" customHeight="1" thickBot="1">
      <c r="A14" s="104"/>
      <c r="B14" s="8" t="s">
        <v>4</v>
      </c>
      <c r="C14" s="13"/>
      <c r="D14" s="12" t="s">
        <v>11</v>
      </c>
      <c r="E14" s="46"/>
      <c r="F14" s="47"/>
      <c r="G14" s="27"/>
      <c r="H14" s="12" t="s">
        <v>11</v>
      </c>
      <c r="I14" s="59">
        <v>3.76</v>
      </c>
      <c r="J14" s="60">
        <f>0.83*35</f>
        <v>29.049999999999997</v>
      </c>
      <c r="K14" s="27"/>
      <c r="L14" s="12" t="s">
        <v>11</v>
      </c>
      <c r="M14" s="59">
        <v>2.39</v>
      </c>
      <c r="N14" s="60">
        <f>1.02*35</f>
        <v>35.700000000000003</v>
      </c>
      <c r="O14" s="27"/>
      <c r="P14" s="12" t="s">
        <v>11</v>
      </c>
      <c r="Q14" s="46"/>
      <c r="R14" s="47"/>
      <c r="S14" s="27"/>
      <c r="T14" s="12" t="s">
        <v>11</v>
      </c>
      <c r="U14" s="46"/>
      <c r="V14" s="47"/>
      <c r="W14" s="27"/>
    </row>
    <row r="15" spans="1:23" ht="4.5" customHeight="1">
      <c r="A15" s="17"/>
      <c r="B15" s="17"/>
      <c r="C15" s="1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7" spans="1:7" ht="15" thickBot="1"/>
    <row r="18" spans="1:7" ht="15">
      <c r="B18" s="9" t="s">
        <v>9</v>
      </c>
      <c r="D18" s="108">
        <v>40672</v>
      </c>
      <c r="E18" s="106"/>
      <c r="F18" s="107"/>
    </row>
    <row r="19" spans="1:7" s="2" customFormat="1" ht="45.75" thickBot="1">
      <c r="C19" s="4"/>
      <c r="D19" s="63" t="s">
        <v>6</v>
      </c>
      <c r="E19" s="61" t="s">
        <v>7</v>
      </c>
      <c r="F19" s="64" t="s">
        <v>8</v>
      </c>
      <c r="G19" s="5"/>
    </row>
    <row r="20" spans="1:7" ht="4.5" customHeight="1" thickBot="1">
      <c r="A20" s="17"/>
      <c r="B20" s="17"/>
      <c r="C20" s="13"/>
      <c r="D20" s="17"/>
      <c r="E20" s="17"/>
      <c r="F20" s="17"/>
      <c r="G20" s="17"/>
    </row>
    <row r="21" spans="1:7" ht="23.1" customHeight="1">
      <c r="A21" s="109" t="s">
        <v>13</v>
      </c>
      <c r="B21" s="6" t="s">
        <v>1</v>
      </c>
      <c r="C21" s="13"/>
      <c r="D21" s="10" t="s">
        <v>11</v>
      </c>
      <c r="E21" s="20">
        <v>3.4</v>
      </c>
      <c r="F21" s="21">
        <f>2.48*35</f>
        <v>86.8</v>
      </c>
      <c r="G21" s="27"/>
    </row>
    <row r="22" spans="1:7" ht="23.1" customHeight="1">
      <c r="A22" s="110"/>
      <c r="B22" s="7" t="s">
        <v>2</v>
      </c>
      <c r="C22" s="13"/>
      <c r="D22" s="11" t="s">
        <v>11</v>
      </c>
      <c r="E22" s="22">
        <v>1.84</v>
      </c>
      <c r="F22" s="23">
        <f>1.82*35</f>
        <v>63.7</v>
      </c>
      <c r="G22" s="27"/>
    </row>
    <row r="23" spans="1:7" ht="23.1" customHeight="1">
      <c r="A23" s="110"/>
      <c r="B23" s="7" t="s">
        <v>3</v>
      </c>
      <c r="C23" s="13"/>
      <c r="D23" s="11" t="s">
        <v>11</v>
      </c>
      <c r="E23" s="22">
        <v>1.82</v>
      </c>
      <c r="F23" s="23">
        <f>1.54*35</f>
        <v>53.9</v>
      </c>
      <c r="G23" s="27"/>
    </row>
    <row r="24" spans="1:7" ht="23.1" customHeight="1" thickBot="1">
      <c r="A24" s="111"/>
      <c r="B24" s="8" t="s">
        <v>4</v>
      </c>
      <c r="C24" s="13"/>
      <c r="D24" s="12" t="s">
        <v>11</v>
      </c>
      <c r="E24" s="46"/>
      <c r="F24" s="47"/>
      <c r="G24" s="27"/>
    </row>
    <row r="25" spans="1:7" s="3" customFormat="1" ht="5.0999999999999996" customHeight="1" thickBot="1">
      <c r="A25" s="14"/>
      <c r="B25" s="15"/>
      <c r="C25" s="13"/>
      <c r="D25" s="16"/>
      <c r="E25" s="26"/>
      <c r="F25" s="26"/>
      <c r="G25" s="31"/>
    </row>
    <row r="26" spans="1:7" ht="23.1" customHeight="1">
      <c r="A26" s="102" t="s">
        <v>14</v>
      </c>
      <c r="B26" s="6" t="s">
        <v>1</v>
      </c>
      <c r="C26" s="13"/>
      <c r="D26" s="10" t="s">
        <v>11</v>
      </c>
      <c r="E26" s="20">
        <v>4.1500000000000004</v>
      </c>
      <c r="F26" s="21">
        <f>5.9*35</f>
        <v>206.5</v>
      </c>
      <c r="G26" s="27"/>
    </row>
    <row r="27" spans="1:7" ht="23.1" customHeight="1">
      <c r="A27" s="103"/>
      <c r="B27" s="7" t="s">
        <v>2</v>
      </c>
      <c r="C27" s="13"/>
      <c r="D27" s="11" t="s">
        <v>11</v>
      </c>
      <c r="E27" s="22">
        <v>5.49</v>
      </c>
      <c r="F27" s="23">
        <f>4.7*35</f>
        <v>164.5</v>
      </c>
      <c r="G27" s="27"/>
    </row>
    <row r="28" spans="1:7" ht="23.1" customHeight="1">
      <c r="A28" s="103"/>
      <c r="B28" s="7" t="s">
        <v>3</v>
      </c>
      <c r="C28" s="13"/>
      <c r="D28" s="11" t="s">
        <v>11</v>
      </c>
      <c r="E28" s="22">
        <v>3.67</v>
      </c>
      <c r="F28" s="23">
        <f>3.44*35</f>
        <v>120.39999999999999</v>
      </c>
      <c r="G28" s="27"/>
    </row>
    <row r="29" spans="1:7" ht="23.1" customHeight="1" thickBot="1">
      <c r="A29" s="104"/>
      <c r="B29" s="8" t="s">
        <v>4</v>
      </c>
      <c r="C29" s="13"/>
      <c r="D29" s="12" t="s">
        <v>11</v>
      </c>
      <c r="E29" s="46"/>
      <c r="F29" s="47"/>
      <c r="G29" s="27"/>
    </row>
    <row r="30" spans="1:7" ht="4.5" customHeight="1">
      <c r="A30" s="17"/>
      <c r="B30" s="17"/>
      <c r="C30" s="13"/>
      <c r="D30" s="17"/>
      <c r="E30" s="17"/>
      <c r="F30" s="17"/>
      <c r="G30" s="17"/>
    </row>
    <row r="33" spans="2:20" ht="15">
      <c r="B33" s="18" t="s">
        <v>92</v>
      </c>
      <c r="H33" s="18"/>
      <c r="L33" s="18"/>
      <c r="P33" s="18"/>
      <c r="T33" s="18"/>
    </row>
  </sheetData>
  <mergeCells count="10">
    <mergeCell ref="A26:A29"/>
    <mergeCell ref="A21:A24"/>
    <mergeCell ref="D18:F18"/>
    <mergeCell ref="A11:A14"/>
    <mergeCell ref="A6:A9"/>
    <mergeCell ref="D3:F3"/>
    <mergeCell ref="H3:J3"/>
    <mergeCell ref="T3:V3"/>
    <mergeCell ref="P3:R3"/>
    <mergeCell ref="L3:N3"/>
  </mergeCells>
  <pageMargins left="0.5" right="1" top="0.75" bottom="0.75" header="0.75" footer="0.3"/>
  <pageSetup scale="7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view="pageBreakPreview" zoomScale="85" zoomScaleNormal="100" zoomScaleSheetLayoutView="85" workbookViewId="0">
      <pane xSplit="3" ySplit="4" topLeftCell="D5" activePane="bottomRight" state="frozen"/>
      <selection activeCell="M11" sqref="M11"/>
      <selection pane="topRight" activeCell="M11" sqref="M11"/>
      <selection pane="bottomLeft" activeCell="M11" sqref="M11"/>
      <selection pane="bottomRight" activeCell="R14" sqref="R14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16384" width="9.140625" style="1"/>
  </cols>
  <sheetData>
    <row r="1" spans="1:19" ht="23.25">
      <c r="A1" s="86" t="s">
        <v>180</v>
      </c>
      <c r="D1" s="96"/>
      <c r="E1" s="97"/>
      <c r="F1" s="97"/>
      <c r="G1" s="97"/>
      <c r="H1" s="96"/>
      <c r="I1" s="97"/>
      <c r="J1" s="97"/>
      <c r="K1" s="97"/>
      <c r="L1" s="96"/>
      <c r="M1" s="97"/>
      <c r="N1" s="97"/>
      <c r="O1" s="97"/>
      <c r="P1" s="96"/>
      <c r="Q1" s="97"/>
      <c r="R1" s="97"/>
      <c r="S1" s="97"/>
    </row>
    <row r="2" spans="1:19" ht="15" thickBot="1"/>
    <row r="3" spans="1:19" ht="15">
      <c r="B3" s="9" t="s">
        <v>9</v>
      </c>
      <c r="D3" s="108">
        <v>40550</v>
      </c>
      <c r="E3" s="106"/>
      <c r="F3" s="107"/>
      <c r="H3" s="108">
        <v>40566</v>
      </c>
      <c r="I3" s="106"/>
      <c r="J3" s="107"/>
      <c r="L3" s="108">
        <v>40586</v>
      </c>
      <c r="M3" s="106"/>
      <c r="N3" s="107"/>
      <c r="P3" s="108">
        <v>40672</v>
      </c>
      <c r="Q3" s="106"/>
      <c r="R3" s="107"/>
    </row>
    <row r="4" spans="1:19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K4" s="5"/>
      <c r="L4" s="63" t="s">
        <v>6</v>
      </c>
      <c r="M4" s="61" t="s">
        <v>7</v>
      </c>
      <c r="N4" s="64" t="s">
        <v>8</v>
      </c>
      <c r="O4" s="5"/>
      <c r="P4" s="63" t="s">
        <v>6</v>
      </c>
      <c r="Q4" s="61" t="s">
        <v>7</v>
      </c>
      <c r="R4" s="64" t="s">
        <v>8</v>
      </c>
      <c r="S4" s="5"/>
    </row>
    <row r="5" spans="1:19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3.1" customHeight="1">
      <c r="A6" s="109" t="s">
        <v>13</v>
      </c>
      <c r="B6" s="6" t="s">
        <v>1</v>
      </c>
      <c r="C6" s="13"/>
      <c r="D6" s="10" t="s">
        <v>11</v>
      </c>
      <c r="E6" s="20">
        <v>3.3</v>
      </c>
      <c r="F6" s="21">
        <f>0.38*35</f>
        <v>13.3</v>
      </c>
      <c r="G6" s="27"/>
      <c r="H6" s="10" t="s">
        <v>11</v>
      </c>
      <c r="I6" s="20"/>
      <c r="J6" s="21"/>
      <c r="K6" s="27"/>
      <c r="L6" s="10" t="s">
        <v>11</v>
      </c>
      <c r="M6" s="20">
        <v>5.46</v>
      </c>
      <c r="N6" s="21">
        <f>5.01*35</f>
        <v>175.35</v>
      </c>
      <c r="O6" s="27"/>
      <c r="P6" s="10" t="s">
        <v>11</v>
      </c>
      <c r="Q6" s="20">
        <v>4.5999999999999996</v>
      </c>
      <c r="R6" s="21">
        <f>6.1*35</f>
        <v>213.5</v>
      </c>
      <c r="S6" s="27"/>
    </row>
    <row r="7" spans="1:19" ht="23.1" customHeight="1">
      <c r="A7" s="110"/>
      <c r="B7" s="7" t="s">
        <v>2</v>
      </c>
      <c r="C7" s="13"/>
      <c r="D7" s="11" t="s">
        <v>11</v>
      </c>
      <c r="E7" s="22">
        <v>3.46</v>
      </c>
      <c r="F7" s="23">
        <f>0.46*35</f>
        <v>16.100000000000001</v>
      </c>
      <c r="G7" s="27"/>
      <c r="H7" s="11" t="s">
        <v>11</v>
      </c>
      <c r="I7" s="22"/>
      <c r="J7" s="23"/>
      <c r="K7" s="27"/>
      <c r="L7" s="11" t="s">
        <v>11</v>
      </c>
      <c r="M7" s="22">
        <v>5.34</v>
      </c>
      <c r="N7" s="23">
        <f>4.06*35</f>
        <v>142.1</v>
      </c>
      <c r="O7" s="27"/>
      <c r="P7" s="11" t="s">
        <v>11</v>
      </c>
      <c r="Q7" s="22">
        <v>4.22</v>
      </c>
      <c r="R7" s="23">
        <f>5.7*35</f>
        <v>199.5</v>
      </c>
      <c r="S7" s="27"/>
    </row>
    <row r="8" spans="1:19" ht="23.1" customHeight="1">
      <c r="A8" s="110"/>
      <c r="B8" s="7" t="s">
        <v>3</v>
      </c>
      <c r="C8" s="13"/>
      <c r="D8" s="11" t="s">
        <v>11</v>
      </c>
      <c r="E8" s="22">
        <v>3.82</v>
      </c>
      <c r="F8" s="23">
        <f>1.12*35</f>
        <v>39.200000000000003</v>
      </c>
      <c r="G8" s="27"/>
      <c r="H8" s="11" t="s">
        <v>11</v>
      </c>
      <c r="I8" s="22"/>
      <c r="J8" s="23"/>
      <c r="K8" s="27"/>
      <c r="L8" s="11" t="s">
        <v>11</v>
      </c>
      <c r="M8" s="22">
        <v>4.33</v>
      </c>
      <c r="N8" s="23">
        <f>2.25*35</f>
        <v>78.75</v>
      </c>
      <c r="O8" s="27"/>
      <c r="P8" s="11" t="s">
        <v>11</v>
      </c>
      <c r="Q8" s="22">
        <v>3.92</v>
      </c>
      <c r="R8" s="23">
        <f>1.76*35</f>
        <v>61.6</v>
      </c>
      <c r="S8" s="27"/>
    </row>
    <row r="9" spans="1:19" ht="23.1" customHeight="1" thickBot="1">
      <c r="A9" s="111"/>
      <c r="B9" s="8" t="s">
        <v>4</v>
      </c>
      <c r="C9" s="13"/>
      <c r="D9" s="12" t="s">
        <v>11</v>
      </c>
      <c r="E9" s="46"/>
      <c r="F9" s="47"/>
      <c r="G9" s="27"/>
      <c r="H9" s="12" t="s">
        <v>11</v>
      </c>
      <c r="I9" s="59"/>
      <c r="J9" s="60"/>
      <c r="K9" s="27"/>
      <c r="L9" s="12" t="s">
        <v>11</v>
      </c>
      <c r="M9" s="59">
        <v>4.4000000000000004</v>
      </c>
      <c r="N9" s="60">
        <f>2.08*35</f>
        <v>72.8</v>
      </c>
      <c r="O9" s="27"/>
      <c r="P9" s="12" t="s">
        <v>11</v>
      </c>
      <c r="Q9" s="46"/>
      <c r="R9" s="47"/>
      <c r="S9" s="27"/>
    </row>
    <row r="10" spans="1:19" s="3" customFormat="1" ht="5.0999999999999996" customHeight="1" thickBot="1">
      <c r="A10" s="14"/>
      <c r="B10" s="15"/>
      <c r="C10" s="13"/>
      <c r="D10" s="16"/>
      <c r="E10" s="26"/>
      <c r="F10" s="26"/>
      <c r="G10" s="31"/>
      <c r="H10" s="16"/>
      <c r="I10" s="26"/>
      <c r="J10" s="26"/>
      <c r="K10" s="31"/>
      <c r="L10" s="16"/>
      <c r="M10" s="26"/>
      <c r="N10" s="26"/>
      <c r="O10" s="31"/>
      <c r="P10" s="16"/>
      <c r="Q10" s="26"/>
      <c r="R10" s="26"/>
      <c r="S10" s="31"/>
    </row>
    <row r="11" spans="1:19" ht="23.1" customHeight="1">
      <c r="A11" s="102" t="s">
        <v>14</v>
      </c>
      <c r="B11" s="6" t="s">
        <v>1</v>
      </c>
      <c r="C11" s="13"/>
      <c r="D11" s="10" t="s">
        <v>11</v>
      </c>
      <c r="E11" s="20">
        <v>3.66</v>
      </c>
      <c r="F11" s="21">
        <f>1.12*35</f>
        <v>39.200000000000003</v>
      </c>
      <c r="G11" s="27"/>
      <c r="H11" s="10" t="s">
        <v>11</v>
      </c>
      <c r="I11" s="20"/>
      <c r="J11" s="21"/>
      <c r="K11" s="27"/>
      <c r="L11" s="10" t="s">
        <v>11</v>
      </c>
      <c r="M11" s="20">
        <v>3.56</v>
      </c>
      <c r="N11" s="21">
        <f>1.57*35</f>
        <v>54.95</v>
      </c>
      <c r="O11" s="27"/>
      <c r="P11" s="10" t="s">
        <v>11</v>
      </c>
      <c r="Q11" s="20">
        <v>3.69</v>
      </c>
      <c r="R11" s="21">
        <f>3.1*35</f>
        <v>108.5</v>
      </c>
      <c r="S11" s="27"/>
    </row>
    <row r="12" spans="1:19" ht="23.1" customHeight="1">
      <c r="A12" s="103"/>
      <c r="B12" s="7" t="s">
        <v>2</v>
      </c>
      <c r="C12" s="13"/>
      <c r="D12" s="11" t="s">
        <v>11</v>
      </c>
      <c r="E12" s="22">
        <v>3.64</v>
      </c>
      <c r="F12" s="23">
        <f>0.44*35</f>
        <v>15.4</v>
      </c>
      <c r="G12" s="27"/>
      <c r="H12" s="11" t="s">
        <v>11</v>
      </c>
      <c r="I12" s="22"/>
      <c r="J12" s="23"/>
      <c r="K12" s="27"/>
      <c r="L12" s="11" t="s">
        <v>11</v>
      </c>
      <c r="M12" s="22">
        <v>3.66</v>
      </c>
      <c r="N12" s="23">
        <f>1.55*35</f>
        <v>54.25</v>
      </c>
      <c r="O12" s="27"/>
      <c r="P12" s="11" t="s">
        <v>11</v>
      </c>
      <c r="Q12" s="22">
        <v>4.03</v>
      </c>
      <c r="R12" s="23">
        <f>5.28*35</f>
        <v>184.8</v>
      </c>
      <c r="S12" s="27"/>
    </row>
    <row r="13" spans="1:19" ht="23.1" customHeight="1">
      <c r="A13" s="103"/>
      <c r="B13" s="7" t="s">
        <v>3</v>
      </c>
      <c r="C13" s="13"/>
      <c r="D13" s="11" t="s">
        <v>11</v>
      </c>
      <c r="E13" s="22">
        <v>4.0599999999999996</v>
      </c>
      <c r="F13" s="23">
        <f>1.64*35</f>
        <v>57.4</v>
      </c>
      <c r="G13" s="27"/>
      <c r="H13" s="11" t="s">
        <v>11</v>
      </c>
      <c r="I13" s="22"/>
      <c r="J13" s="23"/>
      <c r="K13" s="27"/>
      <c r="L13" s="11" t="s">
        <v>11</v>
      </c>
      <c r="M13" s="22">
        <v>3.9</v>
      </c>
      <c r="N13" s="23">
        <f>1.33*35</f>
        <v>46.550000000000004</v>
      </c>
      <c r="O13" s="27"/>
      <c r="P13" s="11" t="s">
        <v>11</v>
      </c>
      <c r="Q13" s="22">
        <v>3.69</v>
      </c>
      <c r="R13" s="23">
        <f>3.6*35</f>
        <v>126</v>
      </c>
      <c r="S13" s="27"/>
    </row>
    <row r="14" spans="1:19" ht="23.1" customHeight="1" thickBot="1">
      <c r="A14" s="104"/>
      <c r="B14" s="8" t="s">
        <v>4</v>
      </c>
      <c r="C14" s="13"/>
      <c r="D14" s="12" t="s">
        <v>11</v>
      </c>
      <c r="E14" s="46"/>
      <c r="F14" s="47"/>
      <c r="G14" s="27"/>
      <c r="H14" s="12" t="s">
        <v>11</v>
      </c>
      <c r="I14" s="59"/>
      <c r="J14" s="60"/>
      <c r="K14" s="27"/>
      <c r="L14" s="12" t="s">
        <v>11</v>
      </c>
      <c r="M14" s="59">
        <v>4.0999999999999996</v>
      </c>
      <c r="N14" s="60">
        <f>1.81*35</f>
        <v>63.35</v>
      </c>
      <c r="O14" s="27"/>
      <c r="P14" s="12" t="s">
        <v>11</v>
      </c>
      <c r="Q14" s="46"/>
      <c r="R14" s="47"/>
      <c r="S14" s="27"/>
    </row>
    <row r="15" spans="1:19" ht="4.5" customHeight="1">
      <c r="A15" s="17"/>
      <c r="B15" s="17"/>
      <c r="C15" s="13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8" spans="2:16" ht="15">
      <c r="B18" s="18" t="s">
        <v>92</v>
      </c>
      <c r="H18" s="18"/>
      <c r="L18" s="18"/>
      <c r="P18" s="18"/>
    </row>
  </sheetData>
  <mergeCells count="6">
    <mergeCell ref="P3:R3"/>
    <mergeCell ref="A11:A14"/>
    <mergeCell ref="H3:J3"/>
    <mergeCell ref="L3:N3"/>
    <mergeCell ref="D3:F3"/>
    <mergeCell ref="A6:A9"/>
  </mergeCells>
  <pageMargins left="0.5" right="1" top="0.75" bottom="0.75" header="0.75" footer="0.3"/>
  <pageSetup scale="7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2"/>
  <sheetViews>
    <sheetView view="pageBreakPreview" zoomScale="85" zoomScaleNormal="100" zoomScaleSheetLayoutView="85" workbookViewId="0">
      <pane xSplit="3" ySplit="4" topLeftCell="D5" activePane="bottomRight" state="frozen"/>
      <selection activeCell="M11" sqref="M11"/>
      <selection pane="topRight" activeCell="M11" sqref="M11"/>
      <selection pane="bottomLeft" activeCell="M11" sqref="M11"/>
      <selection pane="bottomRight" activeCell="F19" sqref="F19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4" width="10.42578125" style="1" customWidth="1"/>
    <col min="15" max="15" width="0.85546875" style="1" customWidth="1"/>
    <col min="16" max="18" width="10.42578125" style="1" customWidth="1"/>
    <col min="19" max="19" width="0.85546875" style="1" customWidth="1"/>
    <col min="20" max="16384" width="9.140625" style="1"/>
  </cols>
  <sheetData>
    <row r="1" spans="1:19" ht="23.25">
      <c r="A1" s="86" t="s">
        <v>181</v>
      </c>
      <c r="D1" s="96"/>
      <c r="E1" s="97"/>
      <c r="F1" s="97"/>
      <c r="G1" s="97"/>
      <c r="H1" s="97"/>
      <c r="I1" s="97"/>
      <c r="J1" s="97"/>
      <c r="K1" s="97"/>
      <c r="L1" s="99"/>
      <c r="M1" s="99"/>
      <c r="N1" s="99"/>
      <c r="O1" s="99"/>
      <c r="P1" s="99"/>
      <c r="Q1" s="99"/>
      <c r="R1" s="99"/>
    </row>
    <row r="2" spans="1:19" ht="15" thickBot="1"/>
    <row r="3" spans="1:19" ht="15">
      <c r="B3" s="9" t="s">
        <v>9</v>
      </c>
      <c r="D3" s="108">
        <v>40516</v>
      </c>
      <c r="E3" s="106"/>
      <c r="F3" s="107"/>
      <c r="H3" s="108">
        <v>40552</v>
      </c>
      <c r="I3" s="106"/>
      <c r="J3" s="107"/>
      <c r="L3" s="108">
        <v>40580</v>
      </c>
      <c r="M3" s="106"/>
      <c r="N3" s="107"/>
      <c r="P3" s="108">
        <v>40650</v>
      </c>
      <c r="Q3" s="106"/>
      <c r="R3" s="107"/>
    </row>
    <row r="4" spans="1:19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63" t="s">
        <v>6</v>
      </c>
      <c r="I4" s="61" t="s">
        <v>7</v>
      </c>
      <c r="J4" s="64" t="s">
        <v>8</v>
      </c>
      <c r="L4" s="63" t="s">
        <v>6</v>
      </c>
      <c r="M4" s="61" t="s">
        <v>7</v>
      </c>
      <c r="N4" s="64" t="s">
        <v>8</v>
      </c>
      <c r="P4" s="63" t="s">
        <v>6</v>
      </c>
      <c r="Q4" s="61" t="s">
        <v>7</v>
      </c>
      <c r="R4" s="64" t="s">
        <v>8</v>
      </c>
    </row>
    <row r="5" spans="1:19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3.1" customHeight="1">
      <c r="A6" s="109" t="s">
        <v>13</v>
      </c>
      <c r="B6" s="6" t="s">
        <v>1</v>
      </c>
      <c r="C6" s="13"/>
      <c r="D6" s="10" t="s">
        <v>12</v>
      </c>
      <c r="E6" s="20">
        <v>0.9</v>
      </c>
      <c r="F6" s="21">
        <f>0.47*35</f>
        <v>16.45</v>
      </c>
      <c r="G6" s="27"/>
      <c r="H6" s="28" t="s">
        <v>12</v>
      </c>
      <c r="I6" s="20">
        <v>0.53</v>
      </c>
      <c r="J6" s="21">
        <f>0.39*35</f>
        <v>13.65</v>
      </c>
      <c r="K6" s="27"/>
      <c r="L6" s="28" t="s">
        <v>12</v>
      </c>
      <c r="M6" s="20">
        <v>0.56999999999999995</v>
      </c>
      <c r="N6" s="21">
        <f>0.47*35</f>
        <v>16.45</v>
      </c>
      <c r="O6" s="27"/>
      <c r="P6" s="28" t="s">
        <v>12</v>
      </c>
      <c r="Q6" s="20">
        <v>0.56000000000000005</v>
      </c>
      <c r="R6" s="21">
        <f>0.39*35</f>
        <v>13.65</v>
      </c>
      <c r="S6" s="27"/>
    </row>
    <row r="7" spans="1:19" ht="23.1" customHeight="1">
      <c r="A7" s="110"/>
      <c r="B7" s="7" t="s">
        <v>2</v>
      </c>
      <c r="C7" s="13"/>
      <c r="D7" s="11" t="s">
        <v>12</v>
      </c>
      <c r="E7" s="22">
        <v>1.49</v>
      </c>
      <c r="F7" s="23">
        <f>1.44*35</f>
        <v>50.4</v>
      </c>
      <c r="G7" s="27"/>
      <c r="H7" s="29" t="s">
        <v>12</v>
      </c>
      <c r="I7" s="22">
        <v>0.59</v>
      </c>
      <c r="J7" s="23">
        <f>0.5*35</f>
        <v>17.5</v>
      </c>
      <c r="K7" s="27"/>
      <c r="L7" s="29" t="s">
        <v>12</v>
      </c>
      <c r="M7" s="22">
        <v>0.6</v>
      </c>
      <c r="N7" s="23">
        <f>0.5*35</f>
        <v>17.5</v>
      </c>
      <c r="O7" s="27"/>
      <c r="P7" s="29" t="s">
        <v>12</v>
      </c>
      <c r="Q7" s="22">
        <v>0.57999999999999996</v>
      </c>
      <c r="R7" s="23">
        <f>0.29*35</f>
        <v>10.149999999999999</v>
      </c>
      <c r="S7" s="27"/>
    </row>
    <row r="8" spans="1:19" ht="23.1" customHeight="1">
      <c r="A8" s="110"/>
      <c r="B8" s="7" t="s">
        <v>3</v>
      </c>
      <c r="C8" s="13"/>
      <c r="D8" s="11" t="s">
        <v>12</v>
      </c>
      <c r="E8" s="22">
        <v>1.92</v>
      </c>
      <c r="F8" s="23">
        <f>2.67*35</f>
        <v>93.45</v>
      </c>
      <c r="G8" s="27"/>
      <c r="H8" s="29" t="s">
        <v>12</v>
      </c>
      <c r="I8" s="22">
        <v>0.53</v>
      </c>
      <c r="J8" s="23">
        <f>0.3*35</f>
        <v>10.5</v>
      </c>
      <c r="K8" s="27"/>
      <c r="L8" s="29" t="s">
        <v>12</v>
      </c>
      <c r="M8" s="22">
        <v>0.59</v>
      </c>
      <c r="N8" s="23">
        <f>0.53*35</f>
        <v>18.55</v>
      </c>
      <c r="O8" s="27"/>
      <c r="P8" s="29" t="s">
        <v>12</v>
      </c>
      <c r="Q8" s="22">
        <v>0.55000000000000004</v>
      </c>
      <c r="R8" s="23">
        <f>0.35*35</f>
        <v>12.25</v>
      </c>
      <c r="S8" s="27"/>
    </row>
    <row r="9" spans="1:19" ht="23.1" customHeight="1" thickBot="1">
      <c r="A9" s="111"/>
      <c r="B9" s="8" t="s">
        <v>4</v>
      </c>
      <c r="C9" s="13"/>
      <c r="D9" s="12" t="s">
        <v>12</v>
      </c>
      <c r="E9" s="46"/>
      <c r="F9" s="47"/>
      <c r="G9" s="27"/>
      <c r="H9" s="30" t="s">
        <v>12</v>
      </c>
      <c r="I9" s="46"/>
      <c r="J9" s="47"/>
      <c r="K9" s="27"/>
      <c r="L9" s="30" t="s">
        <v>12</v>
      </c>
      <c r="M9" s="59">
        <v>0.65</v>
      </c>
      <c r="N9" s="60">
        <f>0.54*35</f>
        <v>18.900000000000002</v>
      </c>
      <c r="O9" s="27"/>
      <c r="P9" s="30" t="s">
        <v>12</v>
      </c>
      <c r="Q9" s="46"/>
      <c r="R9" s="47"/>
      <c r="S9" s="27"/>
    </row>
    <row r="10" spans="1:19" s="3" customFormat="1" ht="5.0999999999999996" customHeight="1">
      <c r="A10" s="14"/>
      <c r="B10" s="15"/>
      <c r="C10" s="13"/>
      <c r="D10" s="16"/>
      <c r="E10" s="26"/>
      <c r="F10" s="26"/>
      <c r="G10" s="31"/>
      <c r="H10" s="32"/>
      <c r="I10" s="26"/>
      <c r="J10" s="26"/>
      <c r="K10" s="31"/>
      <c r="L10" s="32"/>
      <c r="M10" s="26"/>
      <c r="N10" s="26"/>
      <c r="O10" s="31"/>
      <c r="P10" s="32"/>
      <c r="Q10" s="26"/>
      <c r="R10" s="26"/>
      <c r="S10" s="31"/>
    </row>
    <row r="12" spans="1:19" ht="15" thickBot="1"/>
    <row r="13" spans="1:19" ht="15">
      <c r="B13" s="9" t="s">
        <v>9</v>
      </c>
      <c r="D13" s="108">
        <v>40704</v>
      </c>
      <c r="E13" s="106"/>
      <c r="F13" s="107"/>
    </row>
    <row r="14" spans="1:19" ht="45.75" thickBot="1">
      <c r="A14" s="2"/>
      <c r="B14" s="2"/>
      <c r="C14" s="4"/>
      <c r="D14" s="63" t="s">
        <v>6</v>
      </c>
      <c r="E14" s="61" t="s">
        <v>7</v>
      </c>
      <c r="F14" s="64" t="s">
        <v>8</v>
      </c>
      <c r="G14" s="5"/>
    </row>
    <row r="15" spans="1:19" ht="4.5" customHeight="1" thickBot="1">
      <c r="A15" s="17"/>
      <c r="B15" s="17"/>
      <c r="C15" s="13"/>
      <c r="D15" s="17"/>
      <c r="E15" s="17"/>
      <c r="F15" s="17"/>
      <c r="G15" s="17"/>
    </row>
    <row r="16" spans="1:19" ht="23.1" customHeight="1">
      <c r="A16" s="109" t="s">
        <v>13</v>
      </c>
      <c r="B16" s="6" t="s">
        <v>1</v>
      </c>
      <c r="C16" s="13"/>
      <c r="D16" s="10" t="s">
        <v>12</v>
      </c>
      <c r="E16" s="20">
        <v>1.1200000000000001</v>
      </c>
      <c r="F16" s="21">
        <f>2.22*35</f>
        <v>77.7</v>
      </c>
      <c r="G16" s="27"/>
    </row>
    <row r="17" spans="1:7" ht="23.1" customHeight="1">
      <c r="A17" s="110"/>
      <c r="B17" s="7" t="s">
        <v>2</v>
      </c>
      <c r="C17" s="13"/>
      <c r="D17" s="11" t="s">
        <v>12</v>
      </c>
      <c r="E17" s="22">
        <v>0.93</v>
      </c>
      <c r="F17" s="23">
        <f>1.91*35</f>
        <v>66.849999999999994</v>
      </c>
      <c r="G17" s="27"/>
    </row>
    <row r="18" spans="1:7" ht="23.1" customHeight="1">
      <c r="A18" s="110"/>
      <c r="B18" s="7" t="s">
        <v>3</v>
      </c>
      <c r="C18" s="13"/>
      <c r="D18" s="11" t="s">
        <v>12</v>
      </c>
      <c r="E18" s="22">
        <v>1</v>
      </c>
      <c r="F18" s="23">
        <f>1.7*35</f>
        <v>59.5</v>
      </c>
      <c r="G18" s="27"/>
    </row>
    <row r="19" spans="1:7" ht="23.1" customHeight="1" thickBot="1">
      <c r="A19" s="111"/>
      <c r="B19" s="8" t="s">
        <v>4</v>
      </c>
      <c r="C19" s="13"/>
      <c r="D19" s="12" t="s">
        <v>12</v>
      </c>
      <c r="E19" s="46"/>
      <c r="F19" s="47"/>
      <c r="G19" s="27"/>
    </row>
    <row r="20" spans="1:7" ht="4.5" customHeight="1">
      <c r="A20" s="14"/>
      <c r="B20" s="15"/>
      <c r="C20" s="13"/>
      <c r="D20" s="16"/>
      <c r="E20" s="26"/>
      <c r="F20" s="26"/>
      <c r="G20" s="31"/>
    </row>
    <row r="22" spans="1:7" ht="15">
      <c r="B22" s="18" t="s">
        <v>92</v>
      </c>
    </row>
  </sheetData>
  <mergeCells count="7">
    <mergeCell ref="D13:F13"/>
    <mergeCell ref="A16:A19"/>
    <mergeCell ref="P3:R3"/>
    <mergeCell ref="A6:A9"/>
    <mergeCell ref="D3:F3"/>
    <mergeCell ref="H3:J3"/>
    <mergeCell ref="L3:N3"/>
  </mergeCells>
  <pageMargins left="0.5" right="1" top="0.75" bottom="0.75" header="0.75" footer="0.3"/>
  <pageSetup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3"/>
  <sheetViews>
    <sheetView view="pageBreakPreview" zoomScale="85" zoomScaleNormal="100" zoomScaleSheetLayoutView="85" workbookViewId="0">
      <pane xSplit="3" ySplit="4" topLeftCell="D5" activePane="bottomRight" state="frozen"/>
      <selection activeCell="M11" sqref="M11"/>
      <selection pane="topRight" activeCell="M11" sqref="M11"/>
      <selection pane="bottomLeft" activeCell="M11" sqref="M11"/>
      <selection pane="bottomRight" activeCell="M11" sqref="M11"/>
    </sheetView>
  </sheetViews>
  <sheetFormatPr defaultRowHeight="14.25"/>
  <cols>
    <col min="1" max="1" width="3.5703125" style="1" customWidth="1"/>
    <col min="2" max="2" width="7" style="1" bestFit="1" customWidth="1"/>
    <col min="3" max="3" width="0.85546875" style="3" customWidth="1"/>
    <col min="4" max="6" width="10.42578125" style="1" customWidth="1"/>
    <col min="7" max="7" width="0.85546875" style="1" customWidth="1"/>
    <col min="8" max="10" width="10.42578125" style="1" customWidth="1"/>
    <col min="11" max="11" width="0.85546875" style="1" customWidth="1"/>
    <col min="12" max="16384" width="9.140625" style="1"/>
  </cols>
  <sheetData>
    <row r="1" spans="1:13" ht="23.25">
      <c r="A1" s="86" t="s">
        <v>182</v>
      </c>
      <c r="D1" s="96"/>
      <c r="E1" s="97"/>
      <c r="F1" s="97"/>
      <c r="G1" s="97"/>
      <c r="H1" s="96"/>
      <c r="I1" s="97"/>
      <c r="J1" s="97"/>
      <c r="K1" s="97"/>
      <c r="L1" s="99"/>
      <c r="M1" s="99"/>
    </row>
    <row r="2" spans="1:13" ht="15" thickBot="1"/>
    <row r="3" spans="1:13" ht="15">
      <c r="B3" s="9" t="s">
        <v>9</v>
      </c>
      <c r="D3" s="108" t="s">
        <v>93</v>
      </c>
      <c r="E3" s="106"/>
      <c r="F3" s="107"/>
      <c r="H3" s="108" t="s">
        <v>94</v>
      </c>
      <c r="I3" s="106"/>
      <c r="J3" s="107"/>
    </row>
    <row r="4" spans="1:13" s="2" customFormat="1" ht="45.75" thickBot="1">
      <c r="C4" s="4"/>
      <c r="D4" s="63" t="s">
        <v>6</v>
      </c>
      <c r="E4" s="61" t="s">
        <v>7</v>
      </c>
      <c r="F4" s="64" t="s">
        <v>8</v>
      </c>
      <c r="G4" s="5"/>
      <c r="H4" s="95" t="s">
        <v>6</v>
      </c>
      <c r="I4" s="61" t="s">
        <v>7</v>
      </c>
      <c r="J4" s="64" t="s">
        <v>8</v>
      </c>
      <c r="K4" s="5"/>
    </row>
    <row r="5" spans="1:13" ht="4.5" customHeight="1" thickBot="1">
      <c r="A5" s="17"/>
      <c r="B5" s="17"/>
      <c r="C5" s="13"/>
      <c r="D5" s="17"/>
      <c r="E5" s="17"/>
      <c r="F5" s="17"/>
      <c r="G5" s="17"/>
      <c r="H5" s="17"/>
      <c r="I5" s="17"/>
      <c r="J5" s="17"/>
      <c r="K5" s="17"/>
    </row>
    <row r="6" spans="1:13" ht="23.1" customHeight="1">
      <c r="A6" s="119" t="s">
        <v>13</v>
      </c>
      <c r="B6" s="6" t="s">
        <v>1</v>
      </c>
      <c r="C6" s="13"/>
      <c r="D6" s="10" t="s">
        <v>15</v>
      </c>
      <c r="E6" s="20">
        <v>1.58</v>
      </c>
      <c r="F6" s="21">
        <f>1.02*35</f>
        <v>35.700000000000003</v>
      </c>
      <c r="G6" s="27"/>
      <c r="H6" s="10" t="s">
        <v>15</v>
      </c>
      <c r="I6" s="20">
        <v>1.31</v>
      </c>
      <c r="J6" s="21">
        <f>1.2*35</f>
        <v>42</v>
      </c>
      <c r="K6" s="27"/>
    </row>
    <row r="7" spans="1:13" ht="23.1" customHeight="1">
      <c r="A7" s="121"/>
      <c r="B7" s="7" t="s">
        <v>2</v>
      </c>
      <c r="C7" s="13"/>
      <c r="D7" s="11" t="s">
        <v>15</v>
      </c>
      <c r="E7" s="34"/>
      <c r="F7" s="35"/>
      <c r="G7" s="27"/>
      <c r="H7" s="11" t="s">
        <v>15</v>
      </c>
      <c r="I7" s="34"/>
      <c r="J7" s="35"/>
      <c r="K7" s="27"/>
    </row>
    <row r="8" spans="1:13" ht="23.1" customHeight="1">
      <c r="A8" s="121"/>
      <c r="B8" s="7" t="s">
        <v>3</v>
      </c>
      <c r="C8" s="13"/>
      <c r="D8" s="11" t="s">
        <v>15</v>
      </c>
      <c r="E8" s="34"/>
      <c r="F8" s="35"/>
      <c r="G8" s="27"/>
      <c r="H8" s="11" t="s">
        <v>15</v>
      </c>
      <c r="I8" s="34"/>
      <c r="J8" s="35"/>
      <c r="K8" s="27"/>
    </row>
    <row r="9" spans="1:13" ht="23.1" customHeight="1" thickBot="1">
      <c r="A9" s="122"/>
      <c r="B9" s="8" t="s">
        <v>4</v>
      </c>
      <c r="C9" s="13"/>
      <c r="D9" s="12" t="s">
        <v>15</v>
      </c>
      <c r="E9" s="93"/>
      <c r="F9" s="94"/>
      <c r="G9" s="27"/>
      <c r="H9" s="12" t="s">
        <v>15</v>
      </c>
      <c r="I9" s="93"/>
      <c r="J9" s="94"/>
      <c r="K9" s="27"/>
    </row>
    <row r="10" spans="1:13" s="3" customFormat="1" ht="5.0999999999999996" customHeight="1">
      <c r="A10" s="14"/>
      <c r="B10" s="15"/>
      <c r="C10" s="13"/>
      <c r="D10" s="16"/>
      <c r="E10" s="26"/>
      <c r="F10" s="26"/>
      <c r="G10" s="31"/>
      <c r="H10" s="16"/>
      <c r="I10" s="26"/>
      <c r="J10" s="26"/>
      <c r="K10" s="31"/>
    </row>
    <row r="13" spans="1:13" ht="15">
      <c r="B13" s="18" t="s">
        <v>92</v>
      </c>
      <c r="H13" s="18"/>
    </row>
  </sheetData>
  <mergeCells count="3">
    <mergeCell ref="D3:F3"/>
    <mergeCell ref="A6:A9"/>
    <mergeCell ref="H3:J3"/>
  </mergeCells>
  <pageMargins left="0.5" right="1" top="0.75" bottom="0.75" header="0.75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Eclipse Soil Analysis</vt:lpstr>
      <vt:lpstr>Sammis Soil Analysis</vt:lpstr>
      <vt:lpstr>Donlon Soil Analysis</vt:lpstr>
      <vt:lpstr>Manzanita 2 Soil Analysis</vt:lpstr>
      <vt:lpstr>Manzanita 7 Soil Analysis</vt:lpstr>
      <vt:lpstr>Main Soil Analysis</vt:lpstr>
      <vt:lpstr>Rice Soil Analysis</vt:lpstr>
      <vt:lpstr>Captainich Soil Analysis</vt:lpstr>
      <vt:lpstr>MBA Soil Analysis</vt:lpstr>
      <vt:lpstr>Porter Ranch Soil Analysis</vt:lpstr>
      <vt:lpstr>Redman Soil Analysis</vt:lpstr>
      <vt:lpstr>Schultz Soil Analysis</vt:lpstr>
      <vt:lpstr>Data for Graphs</vt:lpstr>
      <vt:lpstr>Eclipse Soil Graphs</vt:lpstr>
      <vt:lpstr>Sammis Soil Graphs</vt:lpstr>
      <vt:lpstr>Donlon Soil Graphs</vt:lpstr>
      <vt:lpstr>Manzanita 2 Soil Graphs</vt:lpstr>
      <vt:lpstr>Manzanita 7 Graphs</vt:lpstr>
      <vt:lpstr>Main Graphs</vt:lpstr>
      <vt:lpstr>Rice Graphs</vt:lpstr>
      <vt:lpstr>Captainich Graphs</vt:lpstr>
      <vt:lpstr>MBA Graphs</vt:lpstr>
      <vt:lpstr>Porter Ranch Graphs</vt:lpstr>
      <vt:lpstr>Redman Graphs</vt:lpstr>
      <vt:lpstr>Schultz Graphs</vt:lpstr>
      <vt:lpstr>Sheet1</vt:lpstr>
      <vt:lpstr>'Donlon Soil Analysis'!Print_Area</vt:lpstr>
      <vt:lpstr>'Donlon Soil Graphs'!Print_Area</vt:lpstr>
      <vt:lpstr>'Eclipse Soil Analysis'!Print_Area</vt:lpstr>
      <vt:lpstr>'Manzanita 2 Soil Analysis'!Print_Area</vt:lpstr>
      <vt:lpstr>'Manzanita 2 Soil Graphs'!Print_Area</vt:lpstr>
      <vt:lpstr>'Manzanita 7 Soil Analysis'!Print_Area</vt:lpstr>
      <vt:lpstr>'Sammis Soil Analysis'!Print_Area</vt:lpstr>
      <vt:lpstr>'Captainich Soil Analysis'!Print_Titles</vt:lpstr>
      <vt:lpstr>'Donlon Soil Analysis'!Print_Titles</vt:lpstr>
      <vt:lpstr>'Eclipse Soil Analysis'!Print_Titles</vt:lpstr>
      <vt:lpstr>'Main Soil Analysis'!Print_Titles</vt:lpstr>
      <vt:lpstr>'Manzanita 2 Soil Analysis'!Print_Titles</vt:lpstr>
      <vt:lpstr>'Manzanita 7 Soil Analysis'!Print_Titles</vt:lpstr>
      <vt:lpstr>'MBA Soil Analysis'!Print_Titles</vt:lpstr>
      <vt:lpstr>'Porter Ranch Soil Analysis'!Print_Titles</vt:lpstr>
      <vt:lpstr>'Redman Soil Analysis'!Print_Titles</vt:lpstr>
      <vt:lpstr>'Rice Soil Analysis'!Print_Titles</vt:lpstr>
      <vt:lpstr>'Sammis Soil Analysis'!Print_Titles</vt:lpstr>
      <vt:lpstr>'Schultz Soil Analysis'!Print_Titles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scarlsso</dc:creator>
  <cp:lastModifiedBy>scarlsso</cp:lastModifiedBy>
  <cp:lastPrinted>2011-07-28T21:11:59Z</cp:lastPrinted>
  <dcterms:created xsi:type="dcterms:W3CDTF">2010-08-10T16:33:16Z</dcterms:created>
  <dcterms:modified xsi:type="dcterms:W3CDTF">2011-07-28T22:02:59Z</dcterms:modified>
</cp:coreProperties>
</file>